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85" windowHeight="6285" tabRatio="677" activeTab="4"/>
  </bookViews>
  <sheets>
    <sheet name="ЭЦВ" sheetId="1" r:id="rId1"/>
    <sheet name="2ЭЦВ" sheetId="2" r:id="rId2"/>
    <sheet name="Частотные преобразователи" sheetId="3" r:id="rId3"/>
    <sheet name="Электродвигатели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</sheets>
  <definedNames>
    <definedName name="_GoBack" localSheetId="2">'Частотные преобразователи'!$A$105</definedName>
    <definedName name="_xlnm.Print_Area" localSheetId="4">'1'!$A$1:$W$104</definedName>
    <definedName name="_xlnm.Print_Area" localSheetId="5">'2'!$A$1:$R$96</definedName>
    <definedName name="_xlnm.Print_Area" localSheetId="1">'2ЭЦВ'!$A$1:$H$73</definedName>
    <definedName name="_xlnm.Print_Area" localSheetId="6">'3'!$A$1:$N$91</definedName>
    <definedName name="_xlnm.Print_Area" localSheetId="7">'4'!$A$1:$J$78</definedName>
    <definedName name="_xlnm.Print_Area" localSheetId="8">'5'!$A$1:$P$86</definedName>
    <definedName name="_xlnm.Print_Area" localSheetId="9">'6'!$A$1:$M$87</definedName>
    <definedName name="_xlnm.Print_Area" localSheetId="10">'7'!$A$1:$L$93</definedName>
    <definedName name="_xlnm.Print_Area" localSheetId="11">'8'!$A$1:$L$88</definedName>
    <definedName name="_xlnm.Print_Area" localSheetId="2">'Частотные преобразователи'!$A$1:$I$165</definedName>
    <definedName name="_xlnm.Print_Area" localSheetId="3">'Электродвигатели'!$A$1:$M$41</definedName>
    <definedName name="_xlnm.Print_Area" localSheetId="0">'ЭЦВ'!$A$1:$I$95</definedName>
  </definedNames>
  <calcPr fullCalcOnLoad="1"/>
</workbook>
</file>

<file path=xl/comments11.xml><?xml version="1.0" encoding="utf-8"?>
<comments xmlns="http://schemas.openxmlformats.org/spreadsheetml/2006/main">
  <authors>
    <author>Ирина</author>
  </authors>
  <commentList>
    <comment ref="H60" authorId="0">
      <text>
        <r>
          <rPr>
            <b/>
            <i/>
            <sz val="8"/>
            <rFont val="Tahoma"/>
            <family val="2"/>
          </rPr>
          <t>Ирина:</t>
        </r>
        <r>
          <rPr>
            <i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<sst xmlns="http://schemas.openxmlformats.org/spreadsheetml/2006/main" count="3615" uniqueCount="2078">
  <si>
    <t xml:space="preserve">А (5АИ)160 S6 </t>
  </si>
  <si>
    <t xml:space="preserve">АИР (5АИ)160S2 </t>
  </si>
  <si>
    <t>АИР (5АИ)160S4</t>
  </si>
  <si>
    <t>А(5АИ)160М6</t>
  </si>
  <si>
    <t>АИР (5АИ)160М2</t>
  </si>
  <si>
    <t>АИР (5АИ)160М4</t>
  </si>
  <si>
    <t>А (5АИ)180М6</t>
  </si>
  <si>
    <t>5А (5АИ)200М8</t>
  </si>
  <si>
    <t>А (5АИ)180S2</t>
  </si>
  <si>
    <t>А (5АИ)180S4</t>
  </si>
  <si>
    <t>А (5АИ)200М6</t>
  </si>
  <si>
    <t>А (5АИ)200L8</t>
  </si>
  <si>
    <t>А (5АИ)180М2</t>
  </si>
  <si>
    <t xml:space="preserve">А (5АИ)180М4 </t>
  </si>
  <si>
    <t xml:space="preserve">А (5АИ)200L6 </t>
  </si>
  <si>
    <t>А (5АИ)200М2</t>
  </si>
  <si>
    <t>А (5АИ)200М4</t>
  </si>
  <si>
    <t>22*750</t>
  </si>
  <si>
    <t>30*750</t>
  </si>
  <si>
    <t>АМ (5АИ)225М6</t>
  </si>
  <si>
    <t>5АМ (5АИ)250 S8</t>
  </si>
  <si>
    <t>А (5АИ)200L2</t>
  </si>
  <si>
    <t>А (5АИ)200L4</t>
  </si>
  <si>
    <t>АМ (5АИ)250S6</t>
  </si>
  <si>
    <t>5АМ (5АИ)250 М8</t>
  </si>
  <si>
    <t>АМ (5АИ)225М2</t>
  </si>
  <si>
    <t>АМ (5АИ)225М4</t>
  </si>
  <si>
    <t>АМ (5АИ)250М6</t>
  </si>
  <si>
    <t>АМ (5АИ)250S2</t>
  </si>
  <si>
    <t>АМ (5АИ)250S4</t>
  </si>
  <si>
    <t>5АМ (5АИ)280S6</t>
  </si>
  <si>
    <t>АМ (5АИ)250М2</t>
  </si>
  <si>
    <t>АМ (5АИ)250М4</t>
  </si>
  <si>
    <t>5АМ (5АИ)280S2</t>
  </si>
  <si>
    <t>5АМ (5АИ)280S4</t>
  </si>
  <si>
    <t>5А (5АИ)315S6К</t>
  </si>
  <si>
    <t xml:space="preserve">5АМ (5АИ)280М2 </t>
  </si>
  <si>
    <t xml:space="preserve">5АM (5АИ)315S4  </t>
  </si>
  <si>
    <t>BL 40/220-2,2/4</t>
  </si>
  <si>
    <t>BL 50/160-1,1/4</t>
  </si>
  <si>
    <t>BL 50/200-2,2/4</t>
  </si>
  <si>
    <t>BL 65/170-2,2/4</t>
  </si>
  <si>
    <t>BL 32/140-2,2/2</t>
  </si>
  <si>
    <t>BL 32/160-4/2</t>
  </si>
  <si>
    <t>BL 40/130-3/2</t>
  </si>
  <si>
    <t>Unilift CC 5 M1</t>
  </si>
  <si>
    <t>Unilift CC 7 M1</t>
  </si>
  <si>
    <t>Unilift CC 9 M1</t>
  </si>
  <si>
    <t>Drain MTS 40 E 26,15/15</t>
  </si>
  <si>
    <t>SEG 40,09</t>
  </si>
  <si>
    <t>BL 50/140-7,5/2</t>
  </si>
  <si>
    <t>BL 40/180-7,5/2</t>
  </si>
  <si>
    <t>BL 50/210-18,5/2</t>
  </si>
  <si>
    <t>BL 65/170-15/2</t>
  </si>
  <si>
    <t>0,37*1500</t>
  </si>
  <si>
    <t>4*3000</t>
  </si>
  <si>
    <t>3*3000</t>
  </si>
  <si>
    <t>1,1*1500</t>
  </si>
  <si>
    <t>3*1500</t>
  </si>
  <si>
    <t>САМОВСАСЫВАЮЩИЕ ГРЯЗЕВЫЕ НАСОСЫ С ОТКРЫТЫМ РАБОЧЕМ КОЛЕСОМ</t>
  </si>
  <si>
    <t>DAB (ИТАЛИЯ)</t>
  </si>
  <si>
    <t>CALPEDA (ИТАЛИЯ)</t>
  </si>
  <si>
    <t>GRUNDFOS (ДАНИЯ)</t>
  </si>
  <si>
    <t>SAER (ИТАЛИЯ)</t>
  </si>
  <si>
    <t xml:space="preserve">Для водоснабжения из скважин и колодцев жилых и административных домов, промышленных предприятий. </t>
  </si>
  <si>
    <t>Максимально допустимое содержание песка в воде - 150 г/м3</t>
  </si>
  <si>
    <t>Для перекачивания сточных фекальных вод с волокнистыми включениями и температурой до +40С.</t>
  </si>
  <si>
    <t>WILO (ГЕРМАНИЯ)</t>
  </si>
  <si>
    <t>ЦЕНТРОБЕЖНЫЕ СЕКЦИОННЫЕ НАСОСЫ ЦНСГ с t ДО 105 С, ЦНС -ДЛЯ ХОЛОДНОЙ ВОДЫ ЦНСН - ДЛЯ НЕФТИ.</t>
  </si>
  <si>
    <t>ЦИРКУЛЯЦИОННЫЕ НАСОСЫ СДВОЕННЫЕ ФЛАНЦЕВЫЕ</t>
  </si>
  <si>
    <t xml:space="preserve">Распределение нагрузки на оба насоса обеспечивает следующие преимущества: </t>
  </si>
  <si>
    <t>снижение эксплуатационных издержек на 50-70%;    повышение надежности благодаря наличию резервного агрегата</t>
  </si>
  <si>
    <t>НАСОСЫ С ПАТРУБКАМИ В ЛИНИЮ (СУХОЙ РОТОР)</t>
  </si>
  <si>
    <t>SQ 1-65</t>
  </si>
  <si>
    <t>ЦНСг 2/30</t>
  </si>
  <si>
    <t>ЦНСг 2/60</t>
  </si>
  <si>
    <t>ЦНСг 2/100</t>
  </si>
  <si>
    <t>ЦНСг 2/120</t>
  </si>
  <si>
    <t>ЦНСг 4/30</t>
  </si>
  <si>
    <t>ЦНСг 4/100</t>
  </si>
  <si>
    <t>ЦНСг 4/120</t>
  </si>
  <si>
    <t>ЦНСг 4/160</t>
  </si>
  <si>
    <t>ЦНСг 6/30</t>
  </si>
  <si>
    <t>ЦНСг 6/40</t>
  </si>
  <si>
    <t>ЦНСг 8/30</t>
  </si>
  <si>
    <t>ЦНСг 8/40</t>
  </si>
  <si>
    <t>ЦНСг 10/40</t>
  </si>
  <si>
    <t>ЦНСг 10/80</t>
  </si>
  <si>
    <t>ЦНСг 10/100</t>
  </si>
  <si>
    <t>ПРЕДЛАГАЕМ НАСОСЫ ВЕДУЩИХ ПРОИЗВОДИТЕЛЕЙ WILO, EMU (ГЕРМАНИЯ), GRUNDFOS(ДАНИЯ), DAB, PEDROLLO, CALPEDA (ИТАЛИЯ), МЕМБРАННЫЕ БАКИ "REFLEX"  И НАСОСЫ ОТЕЧЕСТВЕННОГО ПРОИЗВОДСТВА: ЭЛЕКТРОДВИГАТЕЛИ, ДЫМОСОСЫ, ВЕНТИЛЯТОРЫ, КОМПРЕССОРЫ, РЕДУКТОРЫ, ЭЛЕКТРОПРИВОД</t>
  </si>
  <si>
    <t>CR 1-2</t>
  </si>
  <si>
    <t>CR 90-3</t>
  </si>
  <si>
    <t>Цена, (Евро)</t>
  </si>
  <si>
    <t xml:space="preserve">      * Цена по согласованию</t>
  </si>
  <si>
    <t>*AS/97 оснащен бензиновым четырехтактным двигателем</t>
  </si>
  <si>
    <t>ДОЗИРОВОЧНЫЕ НАСОСЫ  *</t>
  </si>
  <si>
    <t>8НДв-Нм</t>
  </si>
  <si>
    <t>ВИХРЕВЫЕ КОНСОЛЬНЫЕ (САМОВСАСЫВАЮЩИЕ) НАСОСЫ</t>
  </si>
  <si>
    <t>ПДВ 16/20</t>
  </si>
  <si>
    <t>3,4Мпа</t>
  </si>
  <si>
    <t>ПДВ 25/20</t>
  </si>
  <si>
    <t xml:space="preserve"> СМ 80-50-200А-2</t>
  </si>
  <si>
    <t xml:space="preserve"> СМ 80-50-200-4</t>
  </si>
  <si>
    <t xml:space="preserve"> СМ 100-65-200-2</t>
  </si>
  <si>
    <t xml:space="preserve"> СМ 100-65-200А-2</t>
  </si>
  <si>
    <t xml:space="preserve"> СМ 100-65-200Б-2</t>
  </si>
  <si>
    <t xml:space="preserve"> СМ 100-65-200-4</t>
  </si>
  <si>
    <t xml:space="preserve"> СМ 100-65-200А-4</t>
  </si>
  <si>
    <t xml:space="preserve"> СМ 100-65-250-2</t>
  </si>
  <si>
    <t xml:space="preserve"> СМ 100-65-250-4</t>
  </si>
  <si>
    <t xml:space="preserve"> СМ 125-80-315-4</t>
  </si>
  <si>
    <t xml:space="preserve"> СМ 125-80-315А-4</t>
  </si>
  <si>
    <t xml:space="preserve"> СМ 150-125-315-4</t>
  </si>
  <si>
    <t xml:space="preserve"> СМ 80-50-200-2</t>
  </si>
  <si>
    <t>Тульское предприятие насосного оборудования</t>
  </si>
  <si>
    <t xml:space="preserve">              ЧЛЕН РОССИЙСКОЙ АССОЦИАЦИИ ПРОИЗВОДИТЕЛЕЙ НАСОСОВ (РАПН)</t>
  </si>
  <si>
    <t>Мощ., кВт</t>
  </si>
  <si>
    <t>Цена, р</t>
  </si>
  <si>
    <t>KDN 32-125.1</t>
  </si>
  <si>
    <t>KDN 32-160</t>
  </si>
  <si>
    <t>KDN 32-200</t>
  </si>
  <si>
    <t>KDN 40-160</t>
  </si>
  <si>
    <t>KDN 40-200</t>
  </si>
  <si>
    <t>KDN 40-250</t>
  </si>
  <si>
    <t>KDN 50-125</t>
  </si>
  <si>
    <t>KDN 50-160</t>
  </si>
  <si>
    <t>KDN 50-250</t>
  </si>
  <si>
    <t>KDN 65-200</t>
  </si>
  <si>
    <t>ЭЦВ 12-200-105нро</t>
  </si>
  <si>
    <t>ЭЦВ 12-200-140нро</t>
  </si>
  <si>
    <t>НПП "Гидроаппаратура"</t>
  </si>
  <si>
    <t>Научно - производственное предприятие "Г И Д Р О А П П А Р А Т У Р А"</t>
  </si>
  <si>
    <t>IPL 50/170-0,55/4</t>
  </si>
  <si>
    <t>IPL 40/120-1,5/2</t>
  </si>
  <si>
    <t>IPL 40/130-2,2/2</t>
  </si>
  <si>
    <t>IPL 40/160-4/2</t>
  </si>
  <si>
    <t>IPL 50/150-4/2</t>
  </si>
  <si>
    <t>стр. 1 из 8</t>
  </si>
  <si>
    <t xml:space="preserve">ВОЗМОЖНА ПОСТАВКА НАСОСОВ БЕЗ ЭЛЕКТРОДВИГАТЕЛЕЙ, А ТАКЖЕ ЗАПЧАСТИ: РАБОЧИЕ КОЛЕСА,ВАЛЫ К ФЕКАЛЬНЫМ И ДРУГИМ НАСОСАМ.   ПРОДУКЦИЯ ОТПУСКАЕТСЯ: САМОВЫВОЗОМ, ТРАНСПОРТНОЙ КОМПАНИЕЙ ИЛИ  Ж/Д ТРАНСПОРТОМ. </t>
  </si>
  <si>
    <t xml:space="preserve">ПРОДУКЦИЯ ОТПУСКАЕТСЯ: САМОВЫВОЗОМ, ТРАНСПОРТНОЙ КОМПАНИЕЙ ИЛИ  Ж/Д ТРАНСПОРТОМ. </t>
  </si>
  <si>
    <t xml:space="preserve">Тел. (4872) 70-05-47, 37-69-91, 70-05-46, 37-69-86, 49-38-62                                                                         </t>
  </si>
  <si>
    <t>IPL 50/155-4/2</t>
  </si>
  <si>
    <t>IPL 65/115-1,5/2</t>
  </si>
  <si>
    <t>IPL 65/130-3/2</t>
  </si>
  <si>
    <t>IPL 65/140-4/2</t>
  </si>
  <si>
    <t>IPL 80/140-4/2</t>
  </si>
  <si>
    <t>IPL 80/145-5,5/2</t>
  </si>
  <si>
    <t>IPL 80/155-7,5/2</t>
  </si>
  <si>
    <t xml:space="preserve"> E-mail: tpno@bk.ru; tpno1@bk.ru; http://gidrouzel.3dn.ru</t>
  </si>
  <si>
    <t>http://gidrouzel.3dn.ru</t>
  </si>
  <si>
    <t xml:space="preserve"> E-mail: tpno@bk.ru; tpno1@bk.ru; http://gidrouzel.3dn.ru    </t>
  </si>
  <si>
    <t xml:space="preserve">     http://gidrouzel.3dn.ru</t>
  </si>
  <si>
    <t>KDN 80-160</t>
  </si>
  <si>
    <t>KDN 80-200</t>
  </si>
  <si>
    <t>KDN 80-250</t>
  </si>
  <si>
    <t>KDN 100-200</t>
  </si>
  <si>
    <t>KDN 100-250</t>
  </si>
  <si>
    <t>0,75</t>
  </si>
  <si>
    <t>Для повышения давления воды с t до +110С. Однофазные модели  - со встроенной тепловой защитой. Колеса - из нержавейки.</t>
  </si>
  <si>
    <t xml:space="preserve">НД 1,0-2500/10К14А </t>
  </si>
  <si>
    <t xml:space="preserve">НД 1,0-1600/16К14А </t>
  </si>
  <si>
    <t xml:space="preserve">КОНСОЛЬНЫЕ НАСОСЫ                            </t>
  </si>
  <si>
    <r>
      <t>КЛАПАН</t>
    </r>
    <r>
      <rPr>
        <sz val="10"/>
        <rFont val="Arial"/>
        <family val="2"/>
      </rPr>
      <t xml:space="preserve"> чугун обратный</t>
    </r>
  </si>
  <si>
    <r>
      <t>ВЕНТИЛЬ</t>
    </r>
    <r>
      <rPr>
        <sz val="10"/>
        <rFont val="Arial"/>
        <family val="2"/>
      </rPr>
      <t xml:space="preserve"> чугун, муфтовый,</t>
    </r>
  </si>
  <si>
    <r>
      <t xml:space="preserve"> ВЕНТИЛЬ </t>
    </r>
    <r>
      <rPr>
        <sz val="10"/>
        <rFont val="Arial"/>
        <family val="2"/>
      </rPr>
      <t xml:space="preserve"> фланцевый, вода, </t>
    </r>
  </si>
  <si>
    <r>
      <t xml:space="preserve"> ВЕНТИЛЬ</t>
    </r>
    <r>
      <rPr>
        <sz val="10"/>
        <rFont val="Arial"/>
        <family val="2"/>
      </rPr>
      <t xml:space="preserve"> муфтовый,</t>
    </r>
  </si>
  <si>
    <t xml:space="preserve">НД 1,0-1000/25К14А </t>
  </si>
  <si>
    <t xml:space="preserve">НД 1,0-630/40К14А </t>
  </si>
  <si>
    <t xml:space="preserve">НД 100/250К14А </t>
  </si>
  <si>
    <t>НД 1,0-100/63К14А</t>
  </si>
  <si>
    <t>GRUNDFOS(ДАНИЯ) Насос компактного исполнения для перекачивания чистой воды с температурой до +140С</t>
  </si>
  <si>
    <t>Марка</t>
  </si>
  <si>
    <t xml:space="preserve">Цена </t>
  </si>
  <si>
    <t>Цена</t>
  </si>
  <si>
    <t>м</t>
  </si>
  <si>
    <t>Эл/дв</t>
  </si>
  <si>
    <t>NOVA 600M-A</t>
  </si>
  <si>
    <t>1Д 250-125</t>
  </si>
  <si>
    <t>КОНСОЛЬНО-МОНОБЛОЧНЫЕ НАСОСЫ</t>
  </si>
  <si>
    <t xml:space="preserve">КОНДЕНСАТНЫЕ НАСОСЫ  </t>
  </si>
  <si>
    <t>КС 12-50</t>
  </si>
  <si>
    <t>КС 12-110</t>
  </si>
  <si>
    <t>КС 20-50</t>
  </si>
  <si>
    <t>КС 20-110</t>
  </si>
  <si>
    <t>Цена агр.</t>
  </si>
  <si>
    <t>мЗ/ч</t>
  </si>
  <si>
    <t xml:space="preserve"> 1СМ 32-20-125/2</t>
  </si>
  <si>
    <t xml:space="preserve"> 1СМ 50-32-125/2</t>
  </si>
  <si>
    <t xml:space="preserve"> 1СМ 65-50-160/2</t>
  </si>
  <si>
    <t>50¸60</t>
  </si>
  <si>
    <t xml:space="preserve"> СД 16/25</t>
  </si>
  <si>
    <t xml:space="preserve"> СДВ 160/45</t>
  </si>
  <si>
    <t>Втулка распорная (руб)</t>
  </si>
  <si>
    <t>6138 (22732)</t>
  </si>
  <si>
    <t>Цены с НДС на 01.01.2011 г</t>
  </si>
  <si>
    <t xml:space="preserve"> СД 25/14</t>
  </si>
  <si>
    <t xml:space="preserve"> СДВ 160/45А</t>
  </si>
  <si>
    <t xml:space="preserve"> СД 32/40</t>
  </si>
  <si>
    <t xml:space="preserve"> СД 250/22,5</t>
  </si>
  <si>
    <t xml:space="preserve"> СД 50/10</t>
  </si>
  <si>
    <t xml:space="preserve"> СД 250/22,5А</t>
  </si>
  <si>
    <t xml:space="preserve"> СД 50/56</t>
  </si>
  <si>
    <t xml:space="preserve"> СД 250/22,5Б</t>
  </si>
  <si>
    <t xml:space="preserve"> СД 50/56А</t>
  </si>
  <si>
    <t>9*3000</t>
  </si>
  <si>
    <t>NL 40/200-9/2</t>
  </si>
  <si>
    <t>NL 40/250-11/2</t>
  </si>
  <si>
    <t>NL 40/315-22/2</t>
  </si>
  <si>
    <t>NL 50/315-30/2</t>
  </si>
  <si>
    <t>NL 80/250-55/2</t>
  </si>
  <si>
    <t>NL 100/250-75/2</t>
  </si>
  <si>
    <t>NL 125/315-30/4</t>
  </si>
  <si>
    <t>NL 125/400V75/4</t>
  </si>
  <si>
    <t>NL 150/400-75/4</t>
  </si>
  <si>
    <t xml:space="preserve"> СД 70/80</t>
  </si>
  <si>
    <t xml:space="preserve"> СД 70/80А</t>
  </si>
  <si>
    <t xml:space="preserve"> СД 450/22,5</t>
  </si>
  <si>
    <t xml:space="preserve"> СД 80/18</t>
  </si>
  <si>
    <t>ГОРИЗОНТАЛЬНЫЕ НАСОСЫ (ДВУХСТОРОННЕГО ВХОДА)</t>
  </si>
  <si>
    <t xml:space="preserve"> СД 450/22,5А</t>
  </si>
  <si>
    <t xml:space="preserve"> СДВ 80/18</t>
  </si>
  <si>
    <t xml:space="preserve"> моб.  8 (910) 703-55-87</t>
  </si>
  <si>
    <t xml:space="preserve"> СД 450/56</t>
  </si>
  <si>
    <t xml:space="preserve"> СД 80/32</t>
  </si>
  <si>
    <t xml:space="preserve"> СД 450/56А</t>
  </si>
  <si>
    <t xml:space="preserve"> СДС 80-32</t>
  </si>
  <si>
    <t xml:space="preserve"> СД 450/56Б</t>
  </si>
  <si>
    <t xml:space="preserve"> СД 100/40</t>
  </si>
  <si>
    <t xml:space="preserve"> СД 100/40А</t>
  </si>
  <si>
    <t xml:space="preserve"> СД 800-32</t>
  </si>
  <si>
    <t xml:space="preserve"> СД 100/40Б</t>
  </si>
  <si>
    <t xml:space="preserve"> СД 800-32А</t>
  </si>
  <si>
    <t xml:space="preserve"> СД 160/45</t>
  </si>
  <si>
    <t xml:space="preserve"> СД 800-32Б</t>
  </si>
  <si>
    <t xml:space="preserve"> СД 160/45А</t>
  </si>
  <si>
    <t xml:space="preserve"> 1СД 2400/75А</t>
  </si>
  <si>
    <t xml:space="preserve"> ФНГ 450/22,5</t>
  </si>
  <si>
    <t xml:space="preserve"> ФНГ 450/22,5А</t>
  </si>
  <si>
    <t xml:space="preserve"> ФНГ 800/33</t>
  </si>
  <si>
    <t xml:space="preserve"> ФНГ 450/22,5Б</t>
  </si>
  <si>
    <t>ПЕСКОВЫЕ НАСОСЫ</t>
  </si>
  <si>
    <t xml:space="preserve"> ПР 63/22,5</t>
  </si>
  <si>
    <t xml:space="preserve"> ПБ 40/16</t>
  </si>
  <si>
    <t>* взамен АН2/12; АН2/16</t>
  </si>
  <si>
    <t>К 150-125-400/4</t>
  </si>
  <si>
    <t>НАСОСЫ ДЛЯ ВЗВЕШЕННЫХ ЧАСТИЦ</t>
  </si>
  <si>
    <t xml:space="preserve"> ПБ 100/31,5</t>
  </si>
  <si>
    <t>ВАКУУМНЫЕ НАСОСЫ</t>
  </si>
  <si>
    <t>Догов.</t>
  </si>
  <si>
    <t xml:space="preserve"> АНС 60 б/шл, ЗИПа</t>
  </si>
  <si>
    <t xml:space="preserve"> АНС 130 б/шл</t>
  </si>
  <si>
    <t xml:space="preserve"> АНС-260(С-569)</t>
  </si>
  <si>
    <t xml:space="preserve"> 2НВР 5ДМ(ВНР-5,5)</t>
  </si>
  <si>
    <t>0,33м3/м</t>
  </si>
  <si>
    <t xml:space="preserve"> АВЗ-20Д</t>
  </si>
  <si>
    <t xml:space="preserve"> АВЗ-63Д </t>
  </si>
  <si>
    <t xml:space="preserve"> АВЗ-90 </t>
  </si>
  <si>
    <t xml:space="preserve"> АВЗ-125Д</t>
  </si>
  <si>
    <t xml:space="preserve"> НМШ 2-40</t>
  </si>
  <si>
    <t xml:space="preserve"> АВЗ-180</t>
  </si>
  <si>
    <t xml:space="preserve"> НМШ 5-25</t>
  </si>
  <si>
    <t xml:space="preserve"> НМШ 8-25</t>
  </si>
  <si>
    <t>ТРЕХВИНТОВЫЕ ДЛЯ МАСЛА И МАЗУТА</t>
  </si>
  <si>
    <t xml:space="preserve"> Ш 40-4</t>
  </si>
  <si>
    <t>K 146.1.</t>
  </si>
  <si>
    <t>ЭЦВ 10-160-100нро</t>
  </si>
  <si>
    <t>ЭЦВ 12-200-70нро</t>
  </si>
  <si>
    <t>ЭЦВ 12-250-140нро</t>
  </si>
  <si>
    <t>D 1800.</t>
  </si>
  <si>
    <t>K 221.</t>
  </si>
  <si>
    <t>KM 3100.</t>
  </si>
  <si>
    <t>NK 81.</t>
  </si>
  <si>
    <t>SCH 2350.</t>
  </si>
  <si>
    <t>FA 30.78 D</t>
  </si>
  <si>
    <t>FA 60.83 D</t>
  </si>
  <si>
    <t xml:space="preserve"> Ш 80-2,5</t>
  </si>
  <si>
    <t>1,1МПа</t>
  </si>
  <si>
    <t>кВт,об\мин</t>
  </si>
  <si>
    <t>ОНЦ-3,5/20</t>
  </si>
  <si>
    <t xml:space="preserve">Эл/Дв </t>
  </si>
  <si>
    <t xml:space="preserve">Цена нас. </t>
  </si>
  <si>
    <t>ОНЦ1М-6,3/20</t>
  </si>
  <si>
    <t>ЦНСГ 13-105</t>
  </si>
  <si>
    <t>ОНЦ-12,5/20</t>
  </si>
  <si>
    <t>ЦНСГ 13-140</t>
  </si>
  <si>
    <t>ЦНСГ 13-175</t>
  </si>
  <si>
    <t>НД 1,0-160/25К14А</t>
  </si>
  <si>
    <t>ЦНСГ 13-210</t>
  </si>
  <si>
    <t>ЦНСГ 38-44</t>
  </si>
  <si>
    <t xml:space="preserve"> м3/ч </t>
  </si>
  <si>
    <t>ЦНСГ 38-66</t>
  </si>
  <si>
    <t>ЦНСГ 38-88</t>
  </si>
  <si>
    <t>ЦНСГ 38-110</t>
  </si>
  <si>
    <t>ЦНСГ 38-132</t>
  </si>
  <si>
    <t>ЦНСГ 38-154</t>
  </si>
  <si>
    <t>ЦНСГ 38-176</t>
  </si>
  <si>
    <t>ЦНСГ 38-198</t>
  </si>
  <si>
    <t>ЦНСГ 38-220</t>
  </si>
  <si>
    <t>ЦНСГ 60-66</t>
  </si>
  <si>
    <t>ЦНСГ 60-99</t>
  </si>
  <si>
    <t>ЦНСГ 60-132</t>
  </si>
  <si>
    <t>ЦНСГ 60-165</t>
  </si>
  <si>
    <t>ЦНСГ 60-198</t>
  </si>
  <si>
    <t>НЕФТЯНЫЕ И СПЕЦИАЛЬНЫЕ НАСОСЫ</t>
  </si>
  <si>
    <t>ПЛУНЖЕРНЫЕ НАСОСЫ ДЛЯ ПРОМЫВОЧНЫХ МАШИН</t>
  </si>
  <si>
    <t>ЦНСГ 60-231</t>
  </si>
  <si>
    <t>ЦНСГ 60-264</t>
  </si>
  <si>
    <t>ЦНСГ 60-297</t>
  </si>
  <si>
    <t>ЦНСГ 60-330</t>
  </si>
  <si>
    <t>12НА-22х6</t>
  </si>
  <si>
    <t>ЦНСГ 105-98</t>
  </si>
  <si>
    <t>ЦНСГ 105-147</t>
  </si>
  <si>
    <t>ЦНСГ 105-196</t>
  </si>
  <si>
    <t>НКУ-250</t>
  </si>
  <si>
    <t>ЦНСГ 105-245</t>
  </si>
  <si>
    <t>ЦНСГ 105-294</t>
  </si>
  <si>
    <t>1АСВН-80А</t>
  </si>
  <si>
    <t>ЦНСГ 105-343</t>
  </si>
  <si>
    <t>1АСВН-80А/6</t>
  </si>
  <si>
    <t>ЦНСГ 180-85</t>
  </si>
  <si>
    <t>1АСЦЛ 20-24Г</t>
  </si>
  <si>
    <t>ЦНСГ 180-128</t>
  </si>
  <si>
    <t>1СВН-80А</t>
  </si>
  <si>
    <t>--</t>
  </si>
  <si>
    <t>ЦНСГ 180-170</t>
  </si>
  <si>
    <t>ЦНСГ 180-212</t>
  </si>
  <si>
    <t>K 30/800 T</t>
  </si>
  <si>
    <t>ЦНСГ 180-255</t>
  </si>
  <si>
    <t>ЦНСГ 180-297</t>
  </si>
  <si>
    <t>ЦНСГ 180-340</t>
  </si>
  <si>
    <t>ЦНСГ 300-120</t>
  </si>
  <si>
    <t>ЦНСГ 300-180</t>
  </si>
  <si>
    <t>ЦНСГ 300-240</t>
  </si>
  <si>
    <t>ЦНСГ 300-300</t>
  </si>
  <si>
    <t>ЦНС   500-160</t>
  </si>
  <si>
    <t xml:space="preserve">ЦНС   500-240 </t>
  </si>
  <si>
    <t>"Г И Д Р О А П П А Р А Т У Р А"</t>
  </si>
  <si>
    <t>догов</t>
  </si>
  <si>
    <t>ЦН 400-105</t>
  </si>
  <si>
    <t>ЦН 400-105(а)</t>
  </si>
  <si>
    <t>ЦН 400-105(б)</t>
  </si>
  <si>
    <t>ЦН 400-210</t>
  </si>
  <si>
    <t>ЦН 400-210(а)</t>
  </si>
  <si>
    <t>ЦН 1000-180</t>
  </si>
  <si>
    <t>ДВУХПОРШНЕВЫЕ И ПЛАСТИНЧАТО-РОТОРНЫЕ НАСОСЫ</t>
  </si>
  <si>
    <t>ГЕРМЕТИЧНЫЕ НАСОСЫ С МАГНИТНОЙ МУФТОЙ</t>
  </si>
  <si>
    <t xml:space="preserve">  ЦГ6,3/20К-1,1-2</t>
  </si>
  <si>
    <t>ГРАК (ГРАТ) 85/40-1-1,6</t>
  </si>
  <si>
    <t>ГРАК (ГРАТ)170/40-1-1,6</t>
  </si>
  <si>
    <t xml:space="preserve"> П 12,5/12,5 СП</t>
  </si>
  <si>
    <t>ПВП 63/22,5</t>
  </si>
  <si>
    <t>PM-052 PE (WILO) Герм.</t>
  </si>
  <si>
    <t>PM-150 РЕ (WILO) Герм.</t>
  </si>
  <si>
    <t>PM-250 PES (WILO)</t>
  </si>
  <si>
    <t>PM-403 PG (WILO) Герм.</t>
  </si>
  <si>
    <t xml:space="preserve">моб.  8 (910) 703-55-87  </t>
  </si>
  <si>
    <t>моб. 8(910)703-55-87</t>
  </si>
  <si>
    <t>PM-1503 PG (WILO) Герм.</t>
  </si>
  <si>
    <t>Х50-32-125Д (К,Е,И,Л)-С</t>
  </si>
  <si>
    <t>ХМ 8/40(а.б)-К(И,Е)-СД</t>
  </si>
  <si>
    <t>ХМ(Е)50-32-200 Тл-СД</t>
  </si>
  <si>
    <t>Х65-50-125Д (К,Е,И,Л)-С</t>
  </si>
  <si>
    <t>ХМ65-50-160 П-5</t>
  </si>
  <si>
    <t>Х80-50-160Д (Л)-С</t>
  </si>
  <si>
    <t>Х 100-80-160Д (К,Е,ТЛ)-С</t>
  </si>
  <si>
    <t>Х150-125-315 К (Е,ТЛ,И)-СД</t>
  </si>
  <si>
    <t>АХ3/15К (Е,И)-СД</t>
  </si>
  <si>
    <t xml:space="preserve">ЭЛЕКТРОДВИГАТЕЛИ (Общепромышленные) IP23 </t>
  </si>
  <si>
    <t xml:space="preserve">       НАСОСЫ ДЛЯ СТОЧНЫХ И ФЕКАЛЬНЫХ ЖИДКОСТЕЙ</t>
  </si>
  <si>
    <t>АХ 40-25-160 К (А,Е,И)-СД</t>
  </si>
  <si>
    <t xml:space="preserve">АХ50-32-160 К(А,Е,И)-СД </t>
  </si>
  <si>
    <t>АХ 50-32-200 К (Е,И)-СД</t>
  </si>
  <si>
    <t>АХ 65-40-200 К(Е,И)-СД</t>
  </si>
  <si>
    <t>АХ100-65-315К (Е,И)-СД</t>
  </si>
  <si>
    <t xml:space="preserve">АХ 125-80-250 К(Е,И)-СД </t>
  </si>
  <si>
    <t>АХ 125-100-315 Е(К,И)-СД</t>
  </si>
  <si>
    <t xml:space="preserve">АХ 200-150-400 К (Е,И)-СД </t>
  </si>
  <si>
    <t>ХП 2/30 К-5</t>
  </si>
  <si>
    <t>ХП 45/54-2,0-К-Щ (Е,И)</t>
  </si>
  <si>
    <t>АХИ 3/40-0,4-В-М</t>
  </si>
  <si>
    <t>АХП 50-32-200-0,8К(А,Е,И)-СД</t>
  </si>
  <si>
    <t>АХП 65-50-160-0,8-К(А,Е,И)-СД</t>
  </si>
  <si>
    <t>0,55÷1,1</t>
  </si>
  <si>
    <t>5,5(4;3)</t>
  </si>
  <si>
    <t>Предназначены для перекачивания чистых жидкостей, не содержащих абразивных примесей</t>
  </si>
  <si>
    <t xml:space="preserve">  ЦГ6,3/32К-2,2-2</t>
  </si>
  <si>
    <t>НГ 1,6/1,6</t>
  </si>
  <si>
    <t>1ЦГ12,5/50К-4-2(3,5)</t>
  </si>
  <si>
    <t>ЦЕНТРОБЕЖНО-ВИХРЕВЫЕ КОНСОЛЬНЫЕ  НАСОСЫ</t>
  </si>
  <si>
    <t>2ЦГ25/50К-5,5-2(3,4,5)</t>
  </si>
  <si>
    <t>ЦВК 4-112</t>
  </si>
  <si>
    <t xml:space="preserve">Факс/тел.:(4872) 37-69-86, 70-05-47, 37-69-91, 70-05-46, 37-69-85 моб.   8(910) 944-55-87 </t>
  </si>
  <si>
    <t xml:space="preserve">    моб.   8(910) 944-55-87</t>
  </si>
  <si>
    <t>1ЦГ25/80К-11-4</t>
  </si>
  <si>
    <t>ЦВК 5-125</t>
  </si>
  <si>
    <t>4ЦГ50/50К-11-2(3,4,5)</t>
  </si>
  <si>
    <t>ЦВК 6,3-160</t>
  </si>
  <si>
    <t>Стр.3 из 14</t>
  </si>
  <si>
    <t>Модель</t>
  </si>
  <si>
    <t>Подача,м3/ч</t>
  </si>
  <si>
    <t>Напор,м</t>
  </si>
  <si>
    <t>Мощн.,кВт</t>
  </si>
  <si>
    <t>Цена,руб</t>
  </si>
  <si>
    <t>Star-RS 25/4</t>
  </si>
  <si>
    <t>UPS 25-40 (с гайк)</t>
  </si>
  <si>
    <t>заказ.</t>
  </si>
  <si>
    <t>ЦНС 180-1050</t>
  </si>
  <si>
    <t>ЦНС 180-1422</t>
  </si>
  <si>
    <t>********</t>
  </si>
  <si>
    <t>*********</t>
  </si>
  <si>
    <t>Star-RS 25/6</t>
  </si>
  <si>
    <t>UPS 25-60 (с гайк)</t>
  </si>
  <si>
    <t>Star-RS 30/4</t>
  </si>
  <si>
    <t>ЦМК 16/27 (32)</t>
  </si>
  <si>
    <t>27(32)</t>
  </si>
  <si>
    <t>ЦМФ 50/10</t>
  </si>
  <si>
    <t>НПК 10/10</t>
  </si>
  <si>
    <t>НПК (ЦМК) 20/22</t>
  </si>
  <si>
    <t>ЦМК 40-25</t>
  </si>
  <si>
    <t>ЦМФ 100-20</t>
  </si>
  <si>
    <t xml:space="preserve"> ПОГРУЖНЫЕ КАНАЛИЗАЦИОННЫЕ,ФЕКАЛЬНЫЕ НАСОСЫ</t>
  </si>
  <si>
    <t>* Взрывозащищённое исполнение - цена договорная</t>
  </si>
  <si>
    <t>37*750</t>
  </si>
  <si>
    <t>45*750</t>
  </si>
  <si>
    <t>ЦН 405-105</t>
  </si>
  <si>
    <t>ЦН 405-210</t>
  </si>
  <si>
    <t xml:space="preserve">300024, г. Тула,Иншинский проезд, д. 26, ( Лихвинка)    </t>
  </si>
  <si>
    <t>NM 2/BE</t>
  </si>
  <si>
    <t>NM 10/AE</t>
  </si>
  <si>
    <t>NM 12/CE</t>
  </si>
  <si>
    <t>NM 40/25BE</t>
  </si>
  <si>
    <t>NM 40/20AE</t>
  </si>
  <si>
    <t>NM 40/16AE</t>
  </si>
  <si>
    <t>NM 65/16BE</t>
  </si>
  <si>
    <t>NM 50/25AE</t>
  </si>
  <si>
    <t>NM 50M/DE</t>
  </si>
  <si>
    <t>NM 80/200BE</t>
  </si>
  <si>
    <t>3</t>
  </si>
  <si>
    <t>24</t>
  </si>
  <si>
    <t>21,5</t>
  </si>
  <si>
    <t>3,0</t>
  </si>
  <si>
    <t>2,3ПТ-25Д1-М1</t>
  </si>
  <si>
    <t>2,3ПТ-36Д1</t>
  </si>
  <si>
    <t>2,3ПТ-45Д1</t>
  </si>
  <si>
    <t>41</t>
  </si>
  <si>
    <t>12</t>
  </si>
  <si>
    <t>21</t>
  </si>
  <si>
    <t>4,0</t>
  </si>
  <si>
    <t>7,5</t>
  </si>
  <si>
    <t>56</t>
  </si>
  <si>
    <t>68</t>
  </si>
  <si>
    <t>11</t>
  </si>
  <si>
    <t>18,5</t>
  </si>
  <si>
    <t>82,5</t>
  </si>
  <si>
    <t>15</t>
  </si>
  <si>
    <t>51</t>
  </si>
  <si>
    <t>84</t>
  </si>
  <si>
    <t>30</t>
  </si>
  <si>
    <t>120</t>
  </si>
  <si>
    <t>22</t>
  </si>
  <si>
    <t>800(6кВ)*1500</t>
  </si>
  <si>
    <t>Д 160-112</t>
  </si>
  <si>
    <t>Д 160-112Б</t>
  </si>
  <si>
    <t xml:space="preserve"> Д 2000-100-2</t>
  </si>
  <si>
    <t>ШЕСТЕРЕННЫЕ  МАСЛОНАСОСЫ</t>
  </si>
  <si>
    <t xml:space="preserve"> </t>
  </si>
  <si>
    <t>ЦМФ 50/25</t>
  </si>
  <si>
    <t>ПОГРУЖНЫЕ (СКВАЖИННЫЕ) НАСОСЫ</t>
  </si>
  <si>
    <t>1НВ-50/50-2,5-В-СД</t>
  </si>
  <si>
    <t>ЦМК 25/20</t>
  </si>
  <si>
    <t>ЦМК 130-22</t>
  </si>
  <si>
    <t xml:space="preserve">          НАСОСЫ С ПАТРУБКАМИ В ЛИНИЮ (СУХОЙ РОТОР)</t>
  </si>
  <si>
    <t>IPL 80/115-2,2/2</t>
  </si>
  <si>
    <t>DL 50/170-7,5/2</t>
  </si>
  <si>
    <t>DL 80/220-4/4</t>
  </si>
  <si>
    <t>СТАНДАРТНЫЕ ЦЕНТРОБЕЖНЫЕ НАСОСЫ ОБЩЕГО НАЗНАЧЕНИЯ (типа К)</t>
  </si>
  <si>
    <t>SQ 2-55</t>
  </si>
  <si>
    <t>0,55*1500</t>
  </si>
  <si>
    <t>1,5*1500</t>
  </si>
  <si>
    <t>2,2*1500</t>
  </si>
  <si>
    <t>ХИМИЧЕСКИЕ НАСОСЫ (ГЕРМАНИЯ)</t>
  </si>
  <si>
    <t>5,5*1500</t>
  </si>
  <si>
    <t>4,0*1500</t>
  </si>
  <si>
    <t>5,5*3000</t>
  </si>
  <si>
    <t>7,5*3000</t>
  </si>
  <si>
    <t>15*3000</t>
  </si>
  <si>
    <t>4*1500</t>
  </si>
  <si>
    <t>30*3000</t>
  </si>
  <si>
    <t>37*3000</t>
  </si>
  <si>
    <t>2,2*3000</t>
  </si>
  <si>
    <t>0,37*3000</t>
  </si>
  <si>
    <t>IPL 50/115-0,75/2</t>
  </si>
  <si>
    <t>0,75*3000</t>
  </si>
  <si>
    <t>DPL 50/115-0,75/2</t>
  </si>
  <si>
    <t>DPL 80/115-2,2/2</t>
  </si>
  <si>
    <t>DL 100/220-5,5/4</t>
  </si>
  <si>
    <t>IL 100/210-37/2</t>
  </si>
  <si>
    <t>IL 100/170-30/2</t>
  </si>
  <si>
    <t>IL 80/220-30/2</t>
  </si>
  <si>
    <t>IL 80/170-15/2</t>
  </si>
  <si>
    <t>ЭЦВ 12-250-35нро</t>
  </si>
  <si>
    <t>ЭЦВ 12-250-70нро</t>
  </si>
  <si>
    <t>К 200-150-400</t>
  </si>
  <si>
    <t>К 90/20</t>
  </si>
  <si>
    <t xml:space="preserve">К 100-80-160А </t>
  </si>
  <si>
    <t>Марка насоса</t>
  </si>
  <si>
    <t xml:space="preserve">Крышка подшипника пяты </t>
  </si>
  <si>
    <t>кВт</t>
  </si>
  <si>
    <t>об/мин.</t>
  </si>
  <si>
    <t>Цена нас</t>
  </si>
  <si>
    <t>К  50-32-125</t>
  </si>
  <si>
    <t>КМ 80-65-160</t>
  </si>
  <si>
    <t>1КС 50-55</t>
  </si>
  <si>
    <t>1КС 50-110</t>
  </si>
  <si>
    <t xml:space="preserve"> ВВН 1-0,75</t>
  </si>
  <si>
    <t xml:space="preserve"> ВВН 1-1,5</t>
  </si>
  <si>
    <t xml:space="preserve"> ВВН 1-3</t>
  </si>
  <si>
    <t xml:space="preserve"> ВВН 1-6</t>
  </si>
  <si>
    <t xml:space="preserve"> ВВН 1-12</t>
  </si>
  <si>
    <t xml:space="preserve"> 2ВВН 2-50</t>
  </si>
  <si>
    <t>Д 160-112А</t>
  </si>
  <si>
    <t>Д 200-36</t>
  </si>
  <si>
    <t>Д 200-36А</t>
  </si>
  <si>
    <t>1Д 315-50А</t>
  </si>
  <si>
    <t>1Д 315-50Б</t>
  </si>
  <si>
    <t>Д 320-50</t>
  </si>
  <si>
    <t>Д 320-50А</t>
  </si>
  <si>
    <t>1Д 315-71А</t>
  </si>
  <si>
    <t>1Д 500-63</t>
  </si>
  <si>
    <t>1Д 500-63А</t>
  </si>
  <si>
    <t>1Д 500-63Б</t>
  </si>
  <si>
    <t>1Д 630-90А</t>
  </si>
  <si>
    <t>1Д 630-125А</t>
  </si>
  <si>
    <t xml:space="preserve">  КАЛОРИФЕРЫ</t>
  </si>
  <si>
    <t>КМ 40-32-180/2-5</t>
  </si>
  <si>
    <t>КМ 50-32-200/2-5</t>
  </si>
  <si>
    <t>без дв.</t>
  </si>
  <si>
    <t>1АСВН-80А (спирт)</t>
  </si>
  <si>
    <t>1АСЦЛ-80А</t>
  </si>
  <si>
    <t>К 150-125-250</t>
  </si>
  <si>
    <t xml:space="preserve"> ВК(С) 1/16</t>
  </si>
  <si>
    <t xml:space="preserve"> ВК(С) 2/26</t>
  </si>
  <si>
    <t xml:space="preserve"> ВК(С) 4/28</t>
  </si>
  <si>
    <t xml:space="preserve"> ВК(С) 5/24(32)</t>
  </si>
  <si>
    <t xml:space="preserve"> ВК(С) 10/45</t>
  </si>
  <si>
    <t>MVI 214, 380 В, PN25</t>
  </si>
  <si>
    <t>MVI 217, 380 В, PN25</t>
  </si>
  <si>
    <t>MVI 5208, 380 В, PN25</t>
  </si>
  <si>
    <t>MHI 203, 380 В (220 В), PN10</t>
  </si>
  <si>
    <t>MHI 204, 380 В (220 В)</t>
  </si>
  <si>
    <t>MHI 205, 380 В (220 В)</t>
  </si>
  <si>
    <t>MHI 206, 380 В (220 В)</t>
  </si>
  <si>
    <t>MHI 403, 380 В (220 В)</t>
  </si>
  <si>
    <t>MHI 404, 380 В (220 В)</t>
  </si>
  <si>
    <t>MHI 405, 380 В (220 В)</t>
  </si>
  <si>
    <t>MHI 406, 380 В (220 В)</t>
  </si>
  <si>
    <t>MHI 802, 380 В (220 В)</t>
  </si>
  <si>
    <t>MHI 803, 380 В (220 В)</t>
  </si>
  <si>
    <t>MHI 804, 380 В (220 В)</t>
  </si>
  <si>
    <t>MHI 805, 380 В</t>
  </si>
  <si>
    <t>TOP-S 40/7, 380 В (220 В)</t>
  </si>
  <si>
    <t>16кг/см2</t>
  </si>
  <si>
    <t>4кг/см2</t>
  </si>
  <si>
    <t>2,5кг/см2</t>
  </si>
  <si>
    <t>25кг/см2</t>
  </si>
  <si>
    <t xml:space="preserve"> А1 3В-4/25Б</t>
  </si>
  <si>
    <t xml:space="preserve"> А1 3В-16/25Б</t>
  </si>
  <si>
    <t>1,08м3/м</t>
  </si>
  <si>
    <t>3,78м3/м</t>
  </si>
  <si>
    <t>6м3/м</t>
  </si>
  <si>
    <t>7,5м3/м</t>
  </si>
  <si>
    <t>10,8м3/м</t>
  </si>
  <si>
    <t>TOP-S 40/10, 380 В (220 В)</t>
  </si>
  <si>
    <t>TOP-S 50/4, 380 В (220 В)</t>
  </si>
  <si>
    <t>TOP-S 50/7, 380 В (220 В)</t>
  </si>
  <si>
    <t>TOP-S 65/7, 380 В (220 В)</t>
  </si>
  <si>
    <t>TOP-S 65/10, 380 В (220 В)</t>
  </si>
  <si>
    <t>МНОГОСТУПЕНЧАТЫЕ (СЕКЦИОННЫЕ)НАСОСЫ</t>
  </si>
  <si>
    <t>NL 32/125-1,5/2</t>
  </si>
  <si>
    <t>NL 65/250-37/2</t>
  </si>
  <si>
    <t>TMW 32/7</t>
  </si>
  <si>
    <t xml:space="preserve">    WILO (ГЕРМАНИЯ)     ВЕРТИКАЛЬНЫЕ  МНОГОСТУПЕНЧАТЫЕ t+110C</t>
  </si>
  <si>
    <t xml:space="preserve">5АM (5АИ)315MB6  </t>
  </si>
  <si>
    <t xml:space="preserve">5АM (5АИ)315М4  </t>
  </si>
  <si>
    <t xml:space="preserve">5АМ (5АИ)355S4  </t>
  </si>
  <si>
    <t xml:space="preserve">5АМ (5АИ)355S2  </t>
  </si>
  <si>
    <t xml:space="preserve">5А (5АИ)355S2 </t>
  </si>
  <si>
    <t>55*750</t>
  </si>
  <si>
    <t>75*750</t>
  </si>
  <si>
    <t>110*750</t>
  </si>
  <si>
    <t>ЭЛЕКТРОДВИГАТЕЛИ (Общепромышленные) IP23</t>
  </si>
  <si>
    <t>MVI 406, 380 В (220 В)</t>
  </si>
  <si>
    <t xml:space="preserve">MVI 804, 380 В (220 В) </t>
  </si>
  <si>
    <t>ХМ32-20-125К -5</t>
  </si>
  <si>
    <t>ХМ 2/25 К-5</t>
  </si>
  <si>
    <t>Х65-50-160 Л (Е,И,Т)-С</t>
  </si>
  <si>
    <t>Х 100-65-200К (Е,И)-СД</t>
  </si>
  <si>
    <t>ТХИ 8/40-1,3-К-М</t>
  </si>
  <si>
    <t xml:space="preserve">АХ 125-100-400 К(Е,И)-СД </t>
  </si>
  <si>
    <t>ГРАР 160/31,5</t>
  </si>
  <si>
    <t xml:space="preserve"> ПР 12,5/12,5 СП</t>
  </si>
  <si>
    <t>ЭЛЕКТРОДВИГАТЕЛИ (Высоковольтные), ЭЛЕКТРОДВИГАТЕЛИ (Крановые)  и ЭЛЕКТРОПРИВОДА по Заявке.</t>
  </si>
  <si>
    <t xml:space="preserve">MVI 3206, 380 В, PN16 </t>
  </si>
  <si>
    <t>MVI 1608-6, 380 В</t>
  </si>
  <si>
    <t>MVI 1611-6, 380 В, PN16</t>
  </si>
  <si>
    <t>MVI 206, 380 В (220 В)</t>
  </si>
  <si>
    <t>WILO (ГЕРМАНИЯ)   УСТАНОВКИ ПОВЫШЕНИЯ ДАВЛЕНИЯ С ПРЕОБРАЗОВАТЕЛЯМИ ЧАСТОТЫ С ВОЗД. ОХЛАЖДЕНИЕМ</t>
  </si>
  <si>
    <t>COR-3MVI 205/SKw-EB-R</t>
  </si>
  <si>
    <t>COR-2MVIS 805/SKw-EB-R</t>
  </si>
  <si>
    <t>45</t>
  </si>
  <si>
    <t>4,8</t>
  </si>
  <si>
    <t>46</t>
  </si>
  <si>
    <t>8</t>
  </si>
  <si>
    <t>40</t>
  </si>
  <si>
    <t>CO-2MHI 205/ER-EB-R</t>
  </si>
  <si>
    <t>COR-2MVI 205/SKw-EB-R</t>
  </si>
  <si>
    <t>COR-3MVIS 405/SKw-EB-R</t>
  </si>
  <si>
    <t xml:space="preserve">Под., м3/ч </t>
  </si>
  <si>
    <t>CO-3MHI 205/ER-EB-R</t>
  </si>
  <si>
    <t>CO-4MHI 205/ER-EB-R</t>
  </si>
  <si>
    <t>COR-2MHI 205/SKw-EB-R</t>
  </si>
  <si>
    <t>COR-3MHI 205/SKw-EB-R</t>
  </si>
  <si>
    <t>COR-3MHI 405/SKw-EB-R</t>
  </si>
  <si>
    <t xml:space="preserve">К 45/30 </t>
  </si>
  <si>
    <t>Тел/факс. (4872) 70-05-47, 37-69-91, 70-05-46, 37-69-86, 49-38-62</t>
  </si>
  <si>
    <t>ВК 25 75кВт*750</t>
  </si>
  <si>
    <t>432800/556842</t>
  </si>
  <si>
    <t>стр. 6 из 8</t>
  </si>
  <si>
    <t>стр. 7 из 8</t>
  </si>
  <si>
    <t>TWU 4-0427-C</t>
  </si>
  <si>
    <t>TWI 4.03-09-B</t>
  </si>
  <si>
    <t>TWI 4.01-09-B</t>
  </si>
  <si>
    <t xml:space="preserve">К  8/18 </t>
  </si>
  <si>
    <t>К 65-50-125 (К 20/18)</t>
  </si>
  <si>
    <t xml:space="preserve">К 20/30 </t>
  </si>
  <si>
    <t>К 20/30М</t>
  </si>
  <si>
    <t>К 20/30б</t>
  </si>
  <si>
    <t>К 65-50-160</t>
  </si>
  <si>
    <t>К 80-50-200 (К 45/55)</t>
  </si>
  <si>
    <t>К 80-50-200А</t>
  </si>
  <si>
    <t>К 100-80-160 (К 90/35)</t>
  </si>
  <si>
    <t>К 100-65-200 (К 90/55)</t>
  </si>
  <si>
    <t>К 100-65-200А</t>
  </si>
  <si>
    <t>К 100-65-200м (К 90/55)</t>
  </si>
  <si>
    <t>К 100-65-250 (К 90/85)</t>
  </si>
  <si>
    <t>К 100-65-250а</t>
  </si>
  <si>
    <t>К 160/30 (К 150-125-315)</t>
  </si>
  <si>
    <t>К 150-125-315 (К 160/30)</t>
  </si>
  <si>
    <t>К 290/30 (К 200-150-315)</t>
  </si>
  <si>
    <t>К 200-150-315(К 290/30)</t>
  </si>
  <si>
    <t>НД 2,5-40/160 К14А</t>
  </si>
  <si>
    <t xml:space="preserve">НД 1,0-400/10К14А  </t>
  </si>
  <si>
    <t>НД 1,0-10/100К14А</t>
  </si>
  <si>
    <t>НД 1,0-25/40К14А</t>
  </si>
  <si>
    <t>НД 1,0-63/16К14А</t>
  </si>
  <si>
    <t>НД 1,0-63/63К14А</t>
  </si>
  <si>
    <t>НД 1,0-160/40К14А</t>
  </si>
  <si>
    <t>НД 1,0-160/63К14А</t>
  </si>
  <si>
    <t xml:space="preserve">НД 2,5-63/160К14А </t>
  </si>
  <si>
    <t>НД 1,0 Р-1,6/100К14А</t>
  </si>
  <si>
    <t>Обойма (руб)</t>
  </si>
  <si>
    <t>Отвод лопаточный                         (руб)</t>
  </si>
  <si>
    <t>ЭЦВ 8-16</t>
  </si>
  <si>
    <t>ЭЦВ 8-25</t>
  </si>
  <si>
    <t>ЭЦВ 8-40</t>
  </si>
  <si>
    <t>ЭЦВ 10-65</t>
  </si>
  <si>
    <t>ЭЦВ 10-120</t>
  </si>
  <si>
    <t>ЭЦВ 12-160</t>
  </si>
  <si>
    <t>(сч20)</t>
  </si>
  <si>
    <t xml:space="preserve">Крышка </t>
  </si>
  <si>
    <t>Ш 40-4 (Ш40-4Б)</t>
  </si>
  <si>
    <t>Ш 80-2,5Б</t>
  </si>
  <si>
    <t>КОРПУС        чугун  (бронза)</t>
  </si>
  <si>
    <t>1К 20-30</t>
  </si>
  <si>
    <t>1К 100-65-200</t>
  </si>
  <si>
    <t>К 45/30</t>
  </si>
  <si>
    <t>1К 80-65-160</t>
  </si>
  <si>
    <t>1К 100-80-160</t>
  </si>
  <si>
    <t>1К 100-65-250</t>
  </si>
  <si>
    <t>1К 150-125-315</t>
  </si>
  <si>
    <t>НД Р 2,5/400К14А</t>
  </si>
  <si>
    <t>НД 1,0 Р-2,5/40К14А</t>
  </si>
  <si>
    <t>НД 1,0 Р-160/63К14А</t>
  </si>
  <si>
    <t>НД 1,0 Р-63/63К14А</t>
  </si>
  <si>
    <t>НД 1,0 Р-250/16К14А</t>
  </si>
  <si>
    <t>НД 1,0 Р-63/100К14А</t>
  </si>
  <si>
    <t>НД 1,0 Р-630/10К14А</t>
  </si>
  <si>
    <t>НД 1,0 Э-25/40К14А</t>
  </si>
  <si>
    <t>м3/ч</t>
  </si>
  <si>
    <t>AS/97*</t>
  </si>
  <si>
    <t xml:space="preserve">ВОЗМОЖНА ПОСТАВКА  НАСОСОВ БЕЗ ЭЛЕКТРОДВИГАТЕЛЕЙ, И ОТДЕЛЬНО ЭЛЕКТРОДВИГАТЕЛИ (СТР.7),  А ТАКЖЕ ЗАПЧАСТЕЙ К НАСОСАМ СД,СМ,К,1К,Д,1Д,ЭЦВ,НМШ,Ш,СЭ,ЦНСГ,ЦН  И ДР.(СТР. 4).      ПРИ ОФОРМЛЕНИИ ЗАКАЗА НА НЕКОТОРЫЕ ПОЗИЦИИ ВОЗМОЖНО УТОЧНЕНИЕ И ИЗМЕНЕНИЕ  ЦЕНЫ,УКАЗАННОЙ В ПРАЙС-ЛИСТЕ., ПРОДУКЦИЯ ОТПУСКАЕТСЯ: САМОВЫВОЗОМ, ТРАНСПОРТНОЙ КОМПАНИЕЙ ИЛИ  Ж/Д ТРАНСПОРТОМ. </t>
  </si>
  <si>
    <t>м3/час</t>
  </si>
  <si>
    <t>CR 15-06</t>
  </si>
  <si>
    <t>CR 20-06</t>
  </si>
  <si>
    <t>UPS 32-60 (с гайк)</t>
  </si>
  <si>
    <t>UPS 32-80 (с гайк)</t>
  </si>
  <si>
    <t>Цена, Руб.</t>
  </si>
  <si>
    <t>UPE 80-120FZ</t>
  </si>
  <si>
    <t>UPE 100-120FZ</t>
  </si>
  <si>
    <t>Unilift AP 12.40.04.3</t>
  </si>
  <si>
    <t>Unilift AP 35В.50.06.3V</t>
  </si>
  <si>
    <t>Unilift AP 50.50.08.3.V</t>
  </si>
  <si>
    <t>SEV.80.80.11.4.500</t>
  </si>
  <si>
    <t>1Д 630-125Б</t>
  </si>
  <si>
    <t>1Д 800-56А</t>
  </si>
  <si>
    <t>1Д 1250-63А</t>
  </si>
  <si>
    <t xml:space="preserve"> 1Д 1250-125А</t>
  </si>
  <si>
    <t xml:space="preserve"> 1Д 1250-125Б</t>
  </si>
  <si>
    <t xml:space="preserve"> 1Д 1600-90</t>
  </si>
  <si>
    <t>A 50/180XM</t>
  </si>
  <si>
    <t xml:space="preserve"> 1Д 1600-90А</t>
  </si>
  <si>
    <t xml:space="preserve"> 2Д 2000-21</t>
  </si>
  <si>
    <t xml:space="preserve"> Д 2500-62-2</t>
  </si>
  <si>
    <t xml:space="preserve"> Гном 50*25</t>
  </si>
  <si>
    <t xml:space="preserve"> Гном 100*25</t>
  </si>
  <si>
    <t>160*3000</t>
  </si>
  <si>
    <t>75*1500</t>
  </si>
  <si>
    <t>110*1500</t>
  </si>
  <si>
    <t>132*1500</t>
  </si>
  <si>
    <t>ЦМФ 160/10</t>
  </si>
  <si>
    <t>160*1500</t>
  </si>
  <si>
    <t>250*1500</t>
  </si>
  <si>
    <t>Тел/факс. (4872)  70-05-46, 37-69-85, 37-69-91</t>
  </si>
  <si>
    <t>Тел/факс. (4872) 70-05-46, 37-69-85, 37-69-91</t>
  </si>
  <si>
    <t>Тел/факс. (4872)70-05-46, 37-69-85, 37-69-91</t>
  </si>
  <si>
    <t>315*1500</t>
  </si>
  <si>
    <t>400*1500</t>
  </si>
  <si>
    <t>630*1500</t>
  </si>
  <si>
    <t>800*1500</t>
  </si>
  <si>
    <t>800*3000</t>
  </si>
  <si>
    <t>1250*3000</t>
  </si>
  <si>
    <t>200*1500</t>
  </si>
  <si>
    <t>ПОРШНЕВЫЕ</t>
  </si>
  <si>
    <t>Тел.(4872)70-05-47,37-69-86,49-38-62, моб.8(910)703-55-87</t>
  </si>
  <si>
    <t>Импортные насосы продолж см. на стр. 6-8</t>
  </si>
  <si>
    <t>стр. 8 из 8</t>
  </si>
  <si>
    <t xml:space="preserve"> АРМАТУРА  ЗАПОРНАЯ ТРУБОПРОВОДНАЯ</t>
  </si>
  <si>
    <t>Обозначение</t>
  </si>
  <si>
    <t>ДУ</t>
  </si>
  <si>
    <t>РУ</t>
  </si>
  <si>
    <t>15б3р латунь,</t>
  </si>
  <si>
    <t>15кч 18п ( 15кч 33п)</t>
  </si>
  <si>
    <t>вода, пар, РУ = 16,</t>
  </si>
  <si>
    <t>t = 225°</t>
  </si>
  <si>
    <t>15ч9п, 15кч19п</t>
  </si>
  <si>
    <t>( 15кч 34п ) чугун,</t>
  </si>
  <si>
    <t>пар РУ = 16, t = 225°</t>
  </si>
  <si>
    <t>19ч21бр</t>
  </si>
  <si>
    <t>поворотный</t>
  </si>
  <si>
    <t>вода,пар, РУ=16,</t>
  </si>
  <si>
    <t>КЛАПАНЫ, ВЕНТИЛИ</t>
  </si>
  <si>
    <t>вода, РУ=10,   t=70°</t>
  </si>
  <si>
    <t>фланцевая, ручная с обрезным</t>
  </si>
  <si>
    <t xml:space="preserve">    клином  горячая вода, t=150°  С   </t>
  </si>
  <si>
    <t>Цены с НДС на 15.07.2011 ГОДА</t>
  </si>
  <si>
    <t>СУиЗ "Лоцман +" -80 (80А)</t>
  </si>
  <si>
    <t>400*1500, 6кВ</t>
  </si>
  <si>
    <t>630*1500, 6кВ</t>
  </si>
  <si>
    <t>132*3000</t>
  </si>
  <si>
    <t>18,5*3000</t>
  </si>
  <si>
    <t>11*3000</t>
  </si>
  <si>
    <t>22*3000</t>
  </si>
  <si>
    <t>45*3000</t>
  </si>
  <si>
    <t>55*3000</t>
  </si>
  <si>
    <t>75*3000</t>
  </si>
  <si>
    <t>110*3000</t>
  </si>
  <si>
    <t>12НА-9*4,7260мм</t>
  </si>
  <si>
    <t>4НК-5*1</t>
  </si>
  <si>
    <t>5НК-9*1</t>
  </si>
  <si>
    <t>KV 40/7</t>
  </si>
  <si>
    <t>0,55*3000</t>
  </si>
  <si>
    <t>Прайс-лист не является основанием для оплаты.  При оформлении заказа на некоторые позиции  возможно  уточнение и изменение цены.  Продукция отпускается самовывозом или отгружается ж/д транспортом по поступлению денег на наш рас/счет</t>
  </si>
  <si>
    <t xml:space="preserve"> ЦИРКУЛЯЦИОННЫЕ НАСОСЫ С ЭЛЕКТРОННЫМ УПРАВЛЕНИЕМ</t>
  </si>
  <si>
    <t>Для обеспечения циркуляции теплоносителя с тепмературой до +120С в системах отопления, воздуха.  Циркуляционные насосы обеспечивают  равномерный прогрев системы отопления и в промышленных циркуляционных установках и позволяют снизить расход газа и стоимость системы  за счет уменьшения размера труб. Насосы экономичны, бесшумны в работе, имеют три скорости работы и не нуждаются в обслуживании.</t>
  </si>
  <si>
    <t>250*3000</t>
  </si>
  <si>
    <t>315*3000</t>
  </si>
  <si>
    <t>18.5*3000</t>
  </si>
  <si>
    <t>18.5*1500</t>
  </si>
  <si>
    <t>18,5*1000</t>
  </si>
  <si>
    <t>ЭЦВ 10-160-35нро</t>
  </si>
  <si>
    <t>ЭЦВ 10-160-50нро</t>
  </si>
  <si>
    <t>ЭЦВ 12-160-65нро</t>
  </si>
  <si>
    <t>ЭЦВ 12-160-100нро</t>
  </si>
  <si>
    <t>ЭЦВ 12-160-140нро</t>
  </si>
  <si>
    <t>160*1000</t>
  </si>
  <si>
    <t>200*3000</t>
  </si>
  <si>
    <t>200*1000</t>
  </si>
  <si>
    <t>37*1000</t>
  </si>
  <si>
    <t>45*1500</t>
  </si>
  <si>
    <t xml:space="preserve"> СМ 250-200-400А-6</t>
  </si>
  <si>
    <t>45*1000</t>
  </si>
  <si>
    <t>55*1500</t>
  </si>
  <si>
    <t>55*1000</t>
  </si>
  <si>
    <t>75*1000</t>
  </si>
  <si>
    <t>90*3000</t>
  </si>
  <si>
    <t>90*1500</t>
  </si>
  <si>
    <t>110*1000</t>
  </si>
  <si>
    <t>15*1000</t>
  </si>
  <si>
    <t>22*1000</t>
  </si>
  <si>
    <t>30*1000</t>
  </si>
  <si>
    <t>37*1500</t>
  </si>
  <si>
    <t>18,5*750</t>
  </si>
  <si>
    <t>1,5*3000</t>
  </si>
  <si>
    <t>2.2*1500</t>
  </si>
  <si>
    <t>3,0*3000</t>
  </si>
  <si>
    <t>3,0*1500</t>
  </si>
  <si>
    <t>4,0*3000</t>
  </si>
  <si>
    <t>5,5*1000</t>
  </si>
  <si>
    <t>7,5*1000</t>
  </si>
  <si>
    <t>11*1000</t>
  </si>
  <si>
    <t>Рабочее колесо (руб)</t>
  </si>
  <si>
    <t>Вал (руб)</t>
  </si>
  <si>
    <t>Цена, (РУБ)</t>
  </si>
  <si>
    <t>CR 3-11</t>
  </si>
  <si>
    <t>CR 3-29</t>
  </si>
  <si>
    <t>CR 5-18</t>
  </si>
  <si>
    <t>CR 10-10</t>
  </si>
  <si>
    <t>CR 32-5</t>
  </si>
  <si>
    <t>CR 45-4</t>
  </si>
  <si>
    <t>CR 64-3</t>
  </si>
  <si>
    <t>CR 90-6</t>
  </si>
  <si>
    <t>KV 3-10 T</t>
  </si>
  <si>
    <t>KV 3-12 T</t>
  </si>
  <si>
    <t>KV 3-18 T</t>
  </si>
  <si>
    <t>KV 32-3 T</t>
  </si>
  <si>
    <t>KV 32-4 T</t>
  </si>
  <si>
    <t>KV 40/3 T</t>
  </si>
  <si>
    <t>KV 40/4 T</t>
  </si>
  <si>
    <t>KV 50/4 T</t>
  </si>
  <si>
    <t>*</t>
  </si>
  <si>
    <t>Ротор</t>
  </si>
  <si>
    <t xml:space="preserve">Вал </t>
  </si>
  <si>
    <t>Рабочее колесо</t>
  </si>
  <si>
    <t>Корпус</t>
  </si>
  <si>
    <t>Муфта в сборе</t>
  </si>
  <si>
    <t>ВК 2/26</t>
  </si>
  <si>
    <t>ВК 4/28</t>
  </si>
  <si>
    <t>ВК 10/45</t>
  </si>
  <si>
    <t xml:space="preserve">Д 200-36 </t>
  </si>
  <si>
    <t>1,1*3000</t>
  </si>
  <si>
    <t>18,5*1500</t>
  </si>
  <si>
    <t>Цена  нас</t>
  </si>
  <si>
    <t xml:space="preserve">Д 320-50 </t>
  </si>
  <si>
    <t>Д 500-65</t>
  </si>
  <si>
    <t>Д 800-57</t>
  </si>
  <si>
    <t>Д 1250-125</t>
  </si>
  <si>
    <t>Д 2000-100-2</t>
  </si>
  <si>
    <t>Д 3200-33-2</t>
  </si>
  <si>
    <t>1Д 200-90</t>
  </si>
  <si>
    <t>1Д 315-50</t>
  </si>
  <si>
    <t>1Д 315-71</t>
  </si>
  <si>
    <t xml:space="preserve">1Д 500-63 </t>
  </si>
  <si>
    <t>1Д 630-90</t>
  </si>
  <si>
    <t>1Д 630-125</t>
  </si>
  <si>
    <t>1Д 800-56</t>
  </si>
  <si>
    <t>1Д 1250-63</t>
  </si>
  <si>
    <t>1Д 1250-125</t>
  </si>
  <si>
    <t>1Д 1600-90</t>
  </si>
  <si>
    <t>СЭ 500-70-16</t>
  </si>
  <si>
    <t>СЭ 800-55-11</t>
  </si>
  <si>
    <t>СЭ 800-100-11</t>
  </si>
  <si>
    <t>СЭ 1250-70-11</t>
  </si>
  <si>
    <t>ЦВК 5-112</t>
  </si>
  <si>
    <t>ЗАПАСНЫЕ ЧАСТИ К НАСОСАМ</t>
  </si>
  <si>
    <t>Цены ориентировочные (подлежат согласованию)</t>
  </si>
  <si>
    <t xml:space="preserve"> НПП "Г И Д Р О А П П А Р А Т У Р А"</t>
  </si>
  <si>
    <t>Корпус (руб)</t>
  </si>
  <si>
    <t>Кронштейн (корпус подшипника)  (руб)</t>
  </si>
  <si>
    <t>Патрубок всасывающий (руб)</t>
  </si>
  <si>
    <t>Кольцо уплотняющее       ( в корпусе) (руб)</t>
  </si>
  <si>
    <t>НКУ-90М</t>
  </si>
  <si>
    <t>НКУ-140М</t>
  </si>
  <si>
    <t>WILO  (ГЕРМАНИЯ)  Насос компактного исполнения для перекачивания чистой воды с температурой от -10, -20 до +120, +140С</t>
  </si>
  <si>
    <t>Стакан задний (руб)</t>
  </si>
  <si>
    <t>Стакан передний (руб)</t>
  </si>
  <si>
    <t>Втулка защитная (руб)</t>
  </si>
  <si>
    <t>СМ 200-150-400</t>
  </si>
  <si>
    <t>СМ 150-125-315</t>
  </si>
  <si>
    <t>СМ 80-50-200</t>
  </si>
  <si>
    <t>СМ 100-65-250</t>
  </si>
  <si>
    <t>СМ 125-100-250</t>
  </si>
  <si>
    <t>Д 200-95</t>
  </si>
  <si>
    <t>Д 320-70</t>
  </si>
  <si>
    <t>Д 630-90</t>
  </si>
  <si>
    <t>НМШ 2/40</t>
  </si>
  <si>
    <t>НМШ 5/25</t>
  </si>
  <si>
    <t>РОТОР ведомый</t>
  </si>
  <si>
    <t>РОТОР    ведущий</t>
  </si>
  <si>
    <t>1Д 200-90А</t>
  </si>
  <si>
    <t>1Д 200-90Б</t>
  </si>
  <si>
    <t>СД 50/10 (100/40)</t>
  </si>
  <si>
    <t>СД 80/32</t>
  </si>
  <si>
    <t>TP 100F 220/72</t>
  </si>
  <si>
    <t>СД 250-22,5</t>
  </si>
  <si>
    <t>СД 450/22,5</t>
  </si>
  <si>
    <t>СД 800/32</t>
  </si>
  <si>
    <t>СДВ 80/18</t>
  </si>
  <si>
    <t>СМ 100-65-200</t>
  </si>
  <si>
    <t>СМ 125-80-315</t>
  </si>
  <si>
    <t>К 80-65-160</t>
  </si>
  <si>
    <t>К 200-150-315</t>
  </si>
  <si>
    <t>КМ 50-32-125</t>
  </si>
  <si>
    <t>КМ 65-50-160</t>
  </si>
  <si>
    <t>КМ 80-50-200</t>
  </si>
  <si>
    <t>КМ 100-80-160</t>
  </si>
  <si>
    <t>КМ 100-65-200</t>
  </si>
  <si>
    <t>КМ 150-125-250</t>
  </si>
  <si>
    <t>ПИЩЕВЫЕ НАСОСЫ</t>
  </si>
  <si>
    <t>зопрос</t>
  </si>
  <si>
    <t>В заявке просим указывать производителя и год выпуска насоса или номар чертежа.</t>
  </si>
  <si>
    <t>Ч-63а</t>
  </si>
  <si>
    <t>Star-RS 30/6</t>
  </si>
  <si>
    <t>UPS 40-80F</t>
  </si>
  <si>
    <t>UPS 40-60/2F</t>
  </si>
  <si>
    <t>UPS 50-60/2F</t>
  </si>
  <si>
    <t>7,5*1500</t>
  </si>
  <si>
    <t>РЕДУКТОРЫ</t>
  </si>
  <si>
    <t>КОМПРЕССОРЫ</t>
  </si>
  <si>
    <t>1ЦУ-100</t>
  </si>
  <si>
    <t>12ВФ 0,4/1,5</t>
  </si>
  <si>
    <t>4ВУ 1-5/9М4 31/750</t>
  </si>
  <si>
    <t>1ЦУ-160</t>
  </si>
  <si>
    <t>К20 7,5/380Х2</t>
  </si>
  <si>
    <t>1ЦУ-200</t>
  </si>
  <si>
    <t>12ВФ 1,7/1,5</t>
  </si>
  <si>
    <t>К22 7,5/380</t>
  </si>
  <si>
    <t>1ЦУ-250</t>
  </si>
  <si>
    <t>22ВФ 2,5/1,5</t>
  </si>
  <si>
    <t>К23 3/380</t>
  </si>
  <si>
    <t>1Ц2У-100</t>
  </si>
  <si>
    <t xml:space="preserve">К24 4/380 </t>
  </si>
  <si>
    <t>1Ц2У-125</t>
  </si>
  <si>
    <t>22ВФ 6,3/1,5</t>
  </si>
  <si>
    <t>К25М 4/380</t>
  </si>
  <si>
    <t>1Ц2У-160</t>
  </si>
  <si>
    <t>1Ц2У-200</t>
  </si>
  <si>
    <t>23ВФ 10/1,5</t>
  </si>
  <si>
    <t>1Ц2У-200МЦ</t>
  </si>
  <si>
    <t>1Ц2У-250</t>
  </si>
  <si>
    <t>Цена, РУБ</t>
  </si>
  <si>
    <t>С 415М 5,5/380</t>
  </si>
  <si>
    <t>ШНК 14-10 (ОРА-10) нерж</t>
  </si>
  <si>
    <t>ШН7КР (с рубашкой обогрева)</t>
  </si>
  <si>
    <t>ОНВ 1 тип 00 (винтовой)</t>
  </si>
  <si>
    <t>0,25-2</t>
  </si>
  <si>
    <t>1,8-6</t>
  </si>
  <si>
    <t>ШНК 15-2 (НРА-2) нерж</t>
  </si>
  <si>
    <t>ВГ-25 РК  (тихоход)</t>
  </si>
  <si>
    <t>ВГ-50 РК  (тихоход)</t>
  </si>
  <si>
    <t>ВГ-70 РК  (тихоход)</t>
  </si>
  <si>
    <t xml:space="preserve"> Тип эл.  двигателя  </t>
  </si>
  <si>
    <t xml:space="preserve">АИР 90 L2  </t>
  </si>
  <si>
    <t xml:space="preserve">АИР-А112М2  </t>
  </si>
  <si>
    <t xml:space="preserve">5АМ (5АИ)280М4  </t>
  </si>
  <si>
    <t xml:space="preserve">5АM (5АИ)315S2  </t>
  </si>
  <si>
    <t xml:space="preserve">5АМ (5АИ)315М2  </t>
  </si>
  <si>
    <t xml:space="preserve">ЭЛЕКТРОДВИГАТЕЛИ (Общепромышленные) </t>
  </si>
  <si>
    <t xml:space="preserve">    ЧЛЕН РОССИЙСКОЙ АССОЦИАЦИИ ПРОИЗВОДИТЕЛЕЙ НАСОСОВ (РАПН)</t>
  </si>
  <si>
    <t>г. Тула, Иншинский проезд, д.26 (Лихвинка)</t>
  </si>
  <si>
    <t>Тел:(4872) 700-547, 700-546, 376-985, 376-986, 49-38-62</t>
  </si>
  <si>
    <t>E-mail: tpno@bk.ru; tpno1@bk.ru; tpno2@bk.ru</t>
  </si>
  <si>
    <t>Тел/факс:(4872)70-05-46, 37-69-91, 37-69-85</t>
  </si>
  <si>
    <t>Моб. 8 910-704-82-74</t>
  </si>
  <si>
    <t>*Цены от 01.07.2013 года с учётом НДС 18%</t>
  </si>
  <si>
    <t>Цена розничная</t>
  </si>
  <si>
    <t>Цена оптовая</t>
  </si>
  <si>
    <t>ГНОМ 6-10Д (220В) (с попл)</t>
  </si>
  <si>
    <t>ЭЦВ 6-16-90 армлен</t>
  </si>
  <si>
    <t>ГНОМ 10-10 (380В)</t>
  </si>
  <si>
    <t>ЭЦВ 6-16-90  арм.</t>
  </si>
  <si>
    <t>ГНОМ 10-10Д 220В (с попл)</t>
  </si>
  <si>
    <t>ЭЦВ 6-16-110 армлен</t>
  </si>
  <si>
    <t>ЭЦВ 6-16-110  арм.</t>
  </si>
  <si>
    <t>ГНОМ 16-16 (380В)</t>
  </si>
  <si>
    <t>ЭЦВ 6-16-140 армлен</t>
  </si>
  <si>
    <t>ГНОМ 16-16Д 220В (с попл)</t>
  </si>
  <si>
    <t>ЭЦВ 6-16-140  арм.</t>
  </si>
  <si>
    <t>ГНОМ 25-20 (380В)</t>
  </si>
  <si>
    <t>ЭЦВ 6-16-160  армлен</t>
  </si>
  <si>
    <t>ГНОМ 40-25 (380В)</t>
  </si>
  <si>
    <t>ЭЦВ 6-16-160  арм.</t>
  </si>
  <si>
    <t>ГНОМ 53-10 (380В)</t>
  </si>
  <si>
    <t>ЭЦВ 6-16-190  арм.</t>
  </si>
  <si>
    <t>ЭЦВ 4-2,5-80 арм.</t>
  </si>
  <si>
    <t>ЭЦВ 6-25-100  арм.</t>
  </si>
  <si>
    <t>ЭЦВ 5-6,5-80 армлен</t>
  </si>
  <si>
    <t>ЭЦВ 6-25-120  арм.</t>
  </si>
  <si>
    <t>ЭЦВ 5-6,5-80 арм.</t>
  </si>
  <si>
    <t>ЭЦВ 8-16-100 noryl</t>
  </si>
  <si>
    <t>ЭЦВ 5-6,5-120 армлен</t>
  </si>
  <si>
    <t>ЭЦВ 8-16-100 арм.</t>
  </si>
  <si>
    <t>ЭЦВ 5-6,5-120арм.</t>
  </si>
  <si>
    <t>ЭЦВ 6-6,5-60 армлен</t>
  </si>
  <si>
    <t>ЭЦВ 8-16-140 арм./чл.</t>
  </si>
  <si>
    <t>ЭЦВ 6-6,5-60 арм.</t>
  </si>
  <si>
    <t>ЭЦВ 6-6,5-90 армлен</t>
  </si>
  <si>
    <t>ЭЦВ 8-16-180 арм./чл.</t>
  </si>
  <si>
    <t>ЭЦВ 6-6,5-85 арм.</t>
  </si>
  <si>
    <t>ЭЦВ 6-6,5-105 армлен</t>
  </si>
  <si>
    <t>ЭЦВ 8-16-200 арм./чл.</t>
  </si>
  <si>
    <t>ЭЦВ 6-6,5-105 арм.</t>
  </si>
  <si>
    <t>ЭЦВ 6-6,5-120 армлен</t>
  </si>
  <si>
    <t>ЭЦВ 8-25-70 арм./чл.</t>
  </si>
  <si>
    <t>ЭЦВ 6-6,5-125 арм.</t>
  </si>
  <si>
    <t>ЭЦВ 6-6,5-140 армлен</t>
  </si>
  <si>
    <t>ЭЦВ 8-25-110 noryl</t>
  </si>
  <si>
    <t>ЭЦВ 6-6,5-140 арм.</t>
  </si>
  <si>
    <t>ЭЦВ 8-25-100 арм./чл.</t>
  </si>
  <si>
    <t>ЭЦВ 6-6,5-160 армлен</t>
  </si>
  <si>
    <t>ЭЦВ 6-6,5-160 арм.</t>
  </si>
  <si>
    <t>ЭЦВ 6-10-50 армлен</t>
  </si>
  <si>
    <t>ЭЦВ 8-25-125 арм./чл.</t>
  </si>
  <si>
    <t>ЭЦВ 6-10-50 арм.</t>
  </si>
  <si>
    <t>ЭЦВ 6-10-80 армлен</t>
  </si>
  <si>
    <t>ЭЦВ 6-10-80 арм.</t>
  </si>
  <si>
    <t>ЭЦВ 8-25-150 арм./чл.</t>
  </si>
  <si>
    <t>ЭЦВ 6-10-110 армлен</t>
  </si>
  <si>
    <t>ЭЦВ 6-10-110 арм.</t>
  </si>
  <si>
    <t>ЭЦВ 6-10-140 армлен</t>
  </si>
  <si>
    <t>ЭЦВ 8-25-180 арм./чл.</t>
  </si>
  <si>
    <t>ЭЦВ 6-10-140 арм.</t>
  </si>
  <si>
    <t>ЭЦВ 6-10-160 армлен</t>
  </si>
  <si>
    <t>ЭЦВ 6-10-160 арм.</t>
  </si>
  <si>
    <t>ЭЦВ 8-25-230 арм./чл.</t>
  </si>
  <si>
    <t>ЭЦВ 6-10-180 армлен</t>
  </si>
  <si>
    <t>ЭЦВ 6-10-185 арм.</t>
  </si>
  <si>
    <t>ЭЦВ 6-10-230 армлен</t>
  </si>
  <si>
    <t>ЭЦВ 8-40-60 арм./чл.</t>
  </si>
  <si>
    <t>ЭЦВ 6-10-235 арм.</t>
  </si>
  <si>
    <t>ЭЦВ 6-16-70 армлен</t>
  </si>
  <si>
    <t>ЭЦВ 8-40-70 noryl</t>
  </si>
  <si>
    <t>ЭЦВ 6-16-75 арм.</t>
  </si>
  <si>
    <t xml:space="preserve">   Насосы ЭЦВ - скважинные </t>
  </si>
  <si>
    <t>ЭЦВ 8-40-90 арм./чл.</t>
  </si>
  <si>
    <t>ЭЦВ 10-65-150 noryl</t>
  </si>
  <si>
    <t>ЭЦВ 10-65-175 noryl</t>
  </si>
  <si>
    <t>ЭЦВ 8-40-125 арм./чл.</t>
  </si>
  <si>
    <t>ЭЦВ 10-65-225 noryl</t>
  </si>
  <si>
    <t>ЭЦВ 8-40-150 арм./чл.</t>
  </si>
  <si>
    <t>ЭЦВ 8-40-180 арм./чл.</t>
  </si>
  <si>
    <t>ЭЦВ 10-120-120нро</t>
  </si>
  <si>
    <t>ЭЦВ 8-40-200 noryl</t>
  </si>
  <si>
    <t>ЭЦВ 8-65-90 арм.</t>
  </si>
  <si>
    <t>ЭЦВ 8-65-110 noryl</t>
  </si>
  <si>
    <t>ЭЦВ 8-65-110 арм.</t>
  </si>
  <si>
    <t>ЭЦВ 8-65-145 noryl</t>
  </si>
  <si>
    <t>ЭЦВ 8-65-145 арм.</t>
  </si>
  <si>
    <t>ЭЦВ 10-65-65 noryl</t>
  </si>
  <si>
    <t>ЭЦВ 10-65-100 noryl</t>
  </si>
  <si>
    <t>ЭЦВ 10-65-125 noryl</t>
  </si>
  <si>
    <t>Насосы погружные - скважинные со склада в Туле.   Гарантия завода 15 месяцев.</t>
  </si>
  <si>
    <t>Станции управления для ЭЦВ</t>
  </si>
  <si>
    <t xml:space="preserve">!!! Внимание   Предлагаем </t>
  </si>
  <si>
    <t>Станции управления и защиты СУиЗ "Лоцман+" и "СУЗ" предназначены для оснащения погружных электронасосов.</t>
  </si>
  <si>
    <t>ПРЕОБРАЗОВАТЕЛИ ЧАСТОТЫ</t>
  </si>
  <si>
    <t>ДОГ.</t>
  </si>
  <si>
    <t>КЛЮЧ ЦЕПНОЙ КЦ</t>
  </si>
  <si>
    <t>СУиЗ "Лоцман+", ток до 20А, до 9кВт</t>
  </si>
  <si>
    <t>ЭЛЕВАТОР ОБЛЕГЧЕННОГО ТИПА</t>
  </si>
  <si>
    <t>СУиЗ "Лоцман+", ток до 40А, до 20кВт</t>
  </si>
  <si>
    <t xml:space="preserve">  ЭЛЕКТРО-КОНТАКТНЫЕ МАНОМЕТРЫ   ЭКМ-160</t>
  </si>
  <si>
    <t>СУиЗ "Лоцман+", ток до 80А, до 40кВт</t>
  </si>
  <si>
    <t>СУиЗ "Лоцман+", ток до 100А, до 50кВт</t>
  </si>
  <si>
    <t xml:space="preserve">Переходник 021-с резьбы на фланец для ЭЦВ8-(16-40) </t>
  </si>
  <si>
    <t>СУиЗ "Лоцман+", ток до 160А, до 80кВт</t>
  </si>
  <si>
    <t>"СУЗ 10 однофазный" 3-10А</t>
  </si>
  <si>
    <t xml:space="preserve">Переходник 022-01 с резьбы на фланец для ЭЦВ 8-65 </t>
  </si>
  <si>
    <t xml:space="preserve">СУ3-10, ток 3-10А </t>
  </si>
  <si>
    <t>СУЗ 25, 10-25А</t>
  </si>
  <si>
    <t xml:space="preserve">Переходник 022 - с резьбы на фланец для ЭЦВ 10 </t>
  </si>
  <si>
    <t xml:space="preserve">СУ3-40, ток10-40А </t>
  </si>
  <si>
    <t xml:space="preserve">СУ3-100, ток 30-100А </t>
  </si>
  <si>
    <t>ДВНУ-датчик верхнего и нижнего уровней</t>
  </si>
  <si>
    <t xml:space="preserve">СУ3-200, ток 80-200А </t>
  </si>
  <si>
    <t xml:space="preserve"> НОВИНКА</t>
  </si>
  <si>
    <t>Тульское предприятиенасосного оборудования</t>
  </si>
  <si>
    <t>Моб.  8 910-704-82-74</t>
  </si>
  <si>
    <t xml:space="preserve">  насосы ЭЦВ - скважинные </t>
  </si>
  <si>
    <t>Насосынового поколения 2 ЭЦВ с применением герметичного глицеринозаполненного электродвигателя.</t>
  </si>
  <si>
    <t>Тип применяемого уплотнения - торцовое. Срок гарантии - 24 месяца</t>
  </si>
  <si>
    <t>Ц Ен А</t>
  </si>
  <si>
    <t>розничная</t>
  </si>
  <si>
    <t>оптовая</t>
  </si>
  <si>
    <t xml:space="preserve">2ЭЦВ 6-4-70 </t>
  </si>
  <si>
    <t xml:space="preserve">2ЭЦВ 8-25-300 нрк  </t>
  </si>
  <si>
    <t xml:space="preserve">2ЭЦВ 6-4-100 </t>
  </si>
  <si>
    <t xml:space="preserve">2ЭЦВ 8-25-340  </t>
  </si>
  <si>
    <t>2ЭЦВ 6-4-130</t>
  </si>
  <si>
    <t>2ЭЦВ 8-25-400</t>
  </si>
  <si>
    <t>2ЭЦВ 6-4-160</t>
  </si>
  <si>
    <t>2ЭЦВ 8-40-40</t>
  </si>
  <si>
    <t xml:space="preserve">2ЭЦВ 6-4-190 </t>
  </si>
  <si>
    <t>2ЭЦВ 8-40-40 нрк</t>
  </si>
  <si>
    <t>2ЭЦВ 6-6.5-60</t>
  </si>
  <si>
    <t xml:space="preserve">2ЭЦВ 8-40-60 </t>
  </si>
  <si>
    <t>2ЭЦВ 6-6.5-85</t>
  </si>
  <si>
    <t>2ЭЦВ 8-40-60 нрк</t>
  </si>
  <si>
    <t>2ЭЦВ 6-6.5-105</t>
  </si>
  <si>
    <t xml:space="preserve">2ЭЦВ 8-40-90 </t>
  </si>
  <si>
    <t>2ЭЦВ 6-6.5-125</t>
  </si>
  <si>
    <t>2ЭЦВ 8-40-90 нрк</t>
  </si>
  <si>
    <t>2ЭЦВ 6-6.5-140</t>
  </si>
  <si>
    <t xml:space="preserve">2ЭЦВ 8-40-120 </t>
  </si>
  <si>
    <t>2ЭЦВ 6-6.5-160</t>
  </si>
  <si>
    <t>2ЭЦВ 8-40-120 нрк</t>
  </si>
  <si>
    <t>2ЭЦВ 6-6.5-185</t>
  </si>
  <si>
    <t xml:space="preserve">2ЭЦВ 8-40-150 </t>
  </si>
  <si>
    <t xml:space="preserve">2ЭЦВ 6-6.5-225 </t>
  </si>
  <si>
    <t>2ЭЦВ 8-40-150 нрк</t>
  </si>
  <si>
    <t>2ЭЦВ 6-10-50</t>
  </si>
  <si>
    <t xml:space="preserve">2ЭЦВ 8-40-180 </t>
  </si>
  <si>
    <t>2ЭЦВ 6-10-80</t>
  </si>
  <si>
    <t>2ЭЦВ 8-40-180 нрк</t>
  </si>
  <si>
    <t>2ЭЦВ 6-10-110</t>
  </si>
  <si>
    <t xml:space="preserve">2ЭЦВ 8-40-200  </t>
  </si>
  <si>
    <t>2ЭЦВ 6-10-120</t>
  </si>
  <si>
    <t>2ЭЦВ 8-65-40</t>
  </si>
  <si>
    <t>2ЭЦВ 6-10-140</t>
  </si>
  <si>
    <t xml:space="preserve">2ЭЦВ 8-65-70 </t>
  </si>
  <si>
    <t xml:space="preserve">2ЭЦВ 6-10-160 </t>
  </si>
  <si>
    <t>2ЭЦВ 8-65-90</t>
  </si>
  <si>
    <t>2ЭЦВ 6-10-185</t>
  </si>
  <si>
    <t xml:space="preserve">2ЭЦВ 8-65-110 </t>
  </si>
  <si>
    <t>2ЭЦВ 6-10-235</t>
  </si>
  <si>
    <t xml:space="preserve">2ЭЦВ 8-65-145  </t>
  </si>
  <si>
    <t xml:space="preserve">2ЭЦВ 6-10-290 </t>
  </si>
  <si>
    <t>2ЭЦВ 10-65-65 нрк</t>
  </si>
  <si>
    <t xml:space="preserve">2ЭЦВ 6-10-350 </t>
  </si>
  <si>
    <t>2ЭЦВ 10-65-90 нрк</t>
  </si>
  <si>
    <t xml:space="preserve">2ЭЦВ 6-16-50 </t>
  </si>
  <si>
    <t>2ЭЦВ 10-65-110 нрк</t>
  </si>
  <si>
    <t>2ЭЦВ 6-16-75</t>
  </si>
  <si>
    <t>2ЭЦВ 10-65-125 нрк</t>
  </si>
  <si>
    <t>2ЭЦВ 6-16-90</t>
  </si>
  <si>
    <t>2ЭЦВ 10-65-150 нрк</t>
  </si>
  <si>
    <t>2ЭЦВ 6-16-100</t>
  </si>
  <si>
    <t xml:space="preserve">2ЭЦВ 10-65-175 нрк </t>
  </si>
  <si>
    <t>2ЭЦВ 6-16-110</t>
  </si>
  <si>
    <t xml:space="preserve">2ЭЦВ 10-65-200 нрк </t>
  </si>
  <si>
    <t>2ЭЦВ 6-16-140</t>
  </si>
  <si>
    <t>2ЭЦВ 10-65-225 нрк</t>
  </si>
  <si>
    <t>2ЭЦВ 6-16-160</t>
  </si>
  <si>
    <t xml:space="preserve">2ЭЦВ 10-65-250 нрк  </t>
  </si>
  <si>
    <t xml:space="preserve">2ЭЦВ 6-16-190 </t>
  </si>
  <si>
    <t xml:space="preserve">2ЭЦВ 10-65-275 нрк  </t>
  </si>
  <si>
    <t xml:space="preserve">2ЭЦВ 6-25-50 </t>
  </si>
  <si>
    <t xml:space="preserve">2ЭЦВ 10-100-120 нро  </t>
  </si>
  <si>
    <t>2ЭЦВ 6-25-60</t>
  </si>
  <si>
    <t xml:space="preserve">2ЭЦВ 10-120-40 нро </t>
  </si>
  <si>
    <t xml:space="preserve">2ЭЦВ 6-25-70 </t>
  </si>
  <si>
    <t>2ЭЦВ 10-120-60 нро</t>
  </si>
  <si>
    <t xml:space="preserve">2ЭЦВ 6-25-80 </t>
  </si>
  <si>
    <t>2ЭЦВ 10-120-80 нро</t>
  </si>
  <si>
    <t xml:space="preserve">2ЭЦВ 6-25-90 </t>
  </si>
  <si>
    <t>2ЭЦВ 10-120-100 нро</t>
  </si>
  <si>
    <t>2ЭЦВ 6-25-100</t>
  </si>
  <si>
    <t xml:space="preserve">2ЭЦВ 10-120-120 нро </t>
  </si>
  <si>
    <t>2ЭЦВ 6-25-120</t>
  </si>
  <si>
    <t>2ЭЦВ 10-120-140 нро</t>
  </si>
  <si>
    <t xml:space="preserve">2ЭЦВ 6-25-140 </t>
  </si>
  <si>
    <t xml:space="preserve">2ЭЦВ 10-120-160 нро  </t>
  </si>
  <si>
    <t xml:space="preserve">2ЭЦВ 8-16-100 </t>
  </si>
  <si>
    <t xml:space="preserve">2ЭЦВ 10-160-25 нро  </t>
  </si>
  <si>
    <t xml:space="preserve">2ЭЦВ 8-16-140 </t>
  </si>
  <si>
    <t xml:space="preserve">2ЭЦВ 10-160-35 нро </t>
  </si>
  <si>
    <t>2ЭЦВ 8-16-160</t>
  </si>
  <si>
    <t>2ЭЦВ 10-160-50 нро</t>
  </si>
  <si>
    <t xml:space="preserve">2ЭЦВ 8-16-180 </t>
  </si>
  <si>
    <t>2ЭЦВ 10-160-75 нро</t>
  </si>
  <si>
    <t xml:space="preserve">2ЭЦВ 8-16-200 </t>
  </si>
  <si>
    <t>2ЭЦВ 10-160-100 нро</t>
  </si>
  <si>
    <t xml:space="preserve">2ЭЦВ 8-16-260 </t>
  </si>
  <si>
    <t xml:space="preserve">2ЭЦВ 10-160-125 нро  </t>
  </si>
  <si>
    <t>2ЭЦВ 8-25-55</t>
  </si>
  <si>
    <t xml:space="preserve">2ЭЦВ 10-160-150 нро  </t>
  </si>
  <si>
    <t xml:space="preserve">2ЭЦВ 8-25-55нрк </t>
  </si>
  <si>
    <t>2ЭЦВ 12-160-65 нро</t>
  </si>
  <si>
    <t>2ЭЦВ 8-25-70</t>
  </si>
  <si>
    <t>2ЭЦВ 12-160-100 нро</t>
  </si>
  <si>
    <t xml:space="preserve">2ЭЦВ 8-25-70нрк </t>
  </si>
  <si>
    <t>2ЭЦВ 12-160-140 нро</t>
  </si>
  <si>
    <t>2ЭЦВ 8-25-100</t>
  </si>
  <si>
    <t xml:space="preserve">2ЭЦВ 12-160-175 нро  </t>
  </si>
  <si>
    <t xml:space="preserve">2ЭЦВ 8-25-100нрк </t>
  </si>
  <si>
    <t xml:space="preserve">2ЭЦВ 12-160-200 нро </t>
  </si>
  <si>
    <t>2ЭЦВ 8-25-125</t>
  </si>
  <si>
    <t xml:space="preserve">2ЭЦВ 12-200-35 нро  </t>
  </si>
  <si>
    <t xml:space="preserve">2ЭЦВ 8-25-125нрк </t>
  </si>
  <si>
    <t xml:space="preserve">2ЭЦВ 12-200-70 нро  </t>
  </si>
  <si>
    <t xml:space="preserve">2ЭЦВ 8-25-150 </t>
  </si>
  <si>
    <t xml:space="preserve">2ЭЦВ 12-200-105 нро  </t>
  </si>
  <si>
    <t xml:space="preserve">2ЭЦВ 8-25-150нрк </t>
  </si>
  <si>
    <t xml:space="preserve">2ЭЦВ 12-200-140 нро  </t>
  </si>
  <si>
    <t>2ЭЦВ 8-25-180</t>
  </si>
  <si>
    <t xml:space="preserve">2ЭЦВ 12-210-25 нро </t>
  </si>
  <si>
    <t xml:space="preserve">2ЭЦВ 8-25-180нрк </t>
  </si>
  <si>
    <t xml:space="preserve">2ЭЦВ 12-210-55 нро </t>
  </si>
  <si>
    <t xml:space="preserve">2ЭЦВ 8-25-230 </t>
  </si>
  <si>
    <t xml:space="preserve">2ЭЦВ 12-250-35 нро </t>
  </si>
  <si>
    <t xml:space="preserve">2ЭЦВ 8-25-230нрк </t>
  </si>
  <si>
    <t>2ЭЦВ 12-250-70 нро</t>
  </si>
  <si>
    <t xml:space="preserve">2ЭЦВ 8-25-300 </t>
  </si>
  <si>
    <t>2ЭЦВ 12-250-105 нро</t>
  </si>
  <si>
    <r>
      <t xml:space="preserve">    </t>
    </r>
    <r>
      <rPr>
        <b/>
        <u val="single"/>
        <sz val="18"/>
        <rFont val="CG Times"/>
        <family val="0"/>
      </rPr>
      <t xml:space="preserve"> http://gidrouzel.3dn.ru</t>
    </r>
  </si>
  <si>
    <r>
      <t>ЭЦВ 8-25-70</t>
    </r>
    <r>
      <rPr>
        <b/>
        <sz val="14"/>
        <rFont val="Arial"/>
        <family val="2"/>
      </rPr>
      <t>нрк</t>
    </r>
  </si>
  <si>
    <r>
      <t>ЭЦВ 8-25-100</t>
    </r>
    <r>
      <rPr>
        <b/>
        <sz val="14"/>
        <rFont val="Arial"/>
        <family val="2"/>
      </rPr>
      <t xml:space="preserve"> нрк</t>
    </r>
  </si>
  <si>
    <r>
      <t xml:space="preserve">ЭЦВ 8-25-125 </t>
    </r>
    <r>
      <rPr>
        <b/>
        <sz val="14"/>
        <rFont val="Arial"/>
        <family val="2"/>
      </rPr>
      <t>нрк</t>
    </r>
  </si>
  <si>
    <r>
      <t>ЭЦВ 8-25-150</t>
    </r>
    <r>
      <rPr>
        <b/>
        <sz val="14"/>
        <rFont val="Arial"/>
        <family val="2"/>
      </rPr>
      <t>нрк</t>
    </r>
  </si>
  <si>
    <r>
      <t>ЭЦВ 8-25-180</t>
    </r>
    <r>
      <rPr>
        <b/>
        <sz val="14"/>
        <rFont val="Arial"/>
        <family val="2"/>
      </rPr>
      <t>нрк</t>
    </r>
  </si>
  <si>
    <r>
      <t>ЭЦВ 8-25-230</t>
    </r>
    <r>
      <rPr>
        <b/>
        <sz val="14"/>
        <rFont val="Arial"/>
        <family val="2"/>
      </rPr>
      <t xml:space="preserve"> нрк</t>
    </r>
  </si>
  <si>
    <r>
      <t>ЭЦВ 8-40-60</t>
    </r>
    <r>
      <rPr>
        <b/>
        <sz val="14"/>
        <rFont val="Arial"/>
        <family val="2"/>
      </rPr>
      <t>нрк</t>
    </r>
  </si>
  <si>
    <r>
      <t>ЭЦВ 8-40-90</t>
    </r>
    <r>
      <rPr>
        <b/>
        <sz val="14"/>
        <rFont val="Arial"/>
        <family val="2"/>
      </rPr>
      <t>нрк</t>
    </r>
  </si>
  <si>
    <r>
      <t>ЭЦВ 10-65-150</t>
    </r>
    <r>
      <rPr>
        <b/>
        <sz val="14"/>
        <rFont val="Arial"/>
        <family val="2"/>
      </rPr>
      <t>нрк</t>
    </r>
  </si>
  <si>
    <r>
      <t>ЭЦВ 10-65-175</t>
    </r>
    <r>
      <rPr>
        <b/>
        <sz val="14"/>
        <rFont val="Arial"/>
        <family val="2"/>
      </rPr>
      <t>нрк</t>
    </r>
  </si>
  <si>
    <r>
      <t>ЭЦВ 8-40-120</t>
    </r>
    <r>
      <rPr>
        <b/>
        <sz val="14"/>
        <rFont val="Arial"/>
        <family val="2"/>
      </rPr>
      <t>нрк</t>
    </r>
  </si>
  <si>
    <r>
      <t>ЭЦВ 10-65-225</t>
    </r>
    <r>
      <rPr>
        <b/>
        <sz val="14"/>
        <rFont val="Arial"/>
        <family val="2"/>
      </rPr>
      <t>нрк</t>
    </r>
  </si>
  <si>
    <r>
      <t>ЭЦВ 8-40-150</t>
    </r>
    <r>
      <rPr>
        <b/>
        <sz val="14"/>
        <rFont val="Arial"/>
        <family val="2"/>
      </rPr>
      <t>нрк</t>
    </r>
  </si>
  <si>
    <r>
      <t>ЭЦВ 8-40-180</t>
    </r>
    <r>
      <rPr>
        <b/>
        <sz val="14"/>
        <rFont val="Arial"/>
        <family val="2"/>
      </rPr>
      <t>нрк</t>
    </r>
  </si>
  <si>
    <r>
      <t>ЭЦВ 8-40-200</t>
    </r>
    <r>
      <rPr>
        <b/>
        <sz val="14"/>
        <rFont val="Arial"/>
        <family val="2"/>
      </rPr>
      <t>нрк</t>
    </r>
  </si>
  <si>
    <r>
      <t>ЭЦВ 10-65-65</t>
    </r>
    <r>
      <rPr>
        <b/>
        <sz val="14"/>
        <rFont val="Arial"/>
        <family val="2"/>
      </rPr>
      <t>нрк</t>
    </r>
    <r>
      <rPr>
        <sz val="14"/>
        <rFont val="Arial"/>
        <family val="2"/>
      </rPr>
      <t>/чл.</t>
    </r>
  </si>
  <si>
    <r>
      <t>ЭЦВ 10-65-110</t>
    </r>
    <r>
      <rPr>
        <b/>
        <sz val="14"/>
        <rFont val="Arial"/>
        <family val="2"/>
      </rPr>
      <t>нрк</t>
    </r>
    <r>
      <rPr>
        <sz val="14"/>
        <rFont val="Arial"/>
        <family val="2"/>
      </rPr>
      <t>(-100 чл)</t>
    </r>
  </si>
  <si>
    <r>
      <t>ЭЦВ 10-65-125</t>
    </r>
    <r>
      <rPr>
        <b/>
        <sz val="14"/>
        <rFont val="Arial"/>
        <family val="2"/>
      </rPr>
      <t>нрк</t>
    </r>
  </si>
  <si>
    <r>
      <t xml:space="preserve">Насосы с рабочими колесами из: -пластмассы армированной нерж. сталью (без обозначения); -нержавеющей стали </t>
    </r>
    <r>
      <rPr>
        <b/>
        <sz val="14"/>
        <rFont val="Arial"/>
        <family val="2"/>
      </rPr>
      <t>(нрк)</t>
    </r>
    <r>
      <rPr>
        <sz val="14"/>
        <rFont val="Arial"/>
        <family val="2"/>
      </rPr>
      <t xml:space="preserve">;  -нерж. стали и отвод из нерж. стали </t>
    </r>
    <r>
      <rPr>
        <b/>
        <sz val="14"/>
        <rFont val="Arial"/>
        <family val="2"/>
      </rPr>
      <t>(нро);</t>
    </r>
    <r>
      <rPr>
        <sz val="14"/>
        <rFont val="Arial"/>
        <family val="2"/>
      </rPr>
      <t xml:space="preserve"> -чугуна легированного (чл); ; -Noryl (noryl).</t>
    </r>
  </si>
  <si>
    <r>
      <t xml:space="preserve">2ЭЦВ 12-250-140 нро </t>
    </r>
    <r>
      <rPr>
        <u val="single"/>
        <sz val="16"/>
        <color indexed="12"/>
        <rFont val="Arial"/>
        <family val="2"/>
      </rPr>
      <t xml:space="preserve"> </t>
    </r>
  </si>
  <si>
    <t xml:space="preserve">  ЧЛЕН РОССИЙСКОЙ АССОЦИАЦИИ ПРОИЗВОДИТЕЛЕЙ НАСОСОВ (РАПН)</t>
  </si>
  <si>
    <t>tpno@bk.ru; tpno1@bk.ru; tpno2@bk.ru</t>
  </si>
  <si>
    <t xml:space="preserve">ПРАЙС-ЛИСТ </t>
  </si>
  <si>
    <t>ЧАСТОТНЫЕ ПРЕОБРАЗОВАТЕЛИ</t>
  </si>
  <si>
    <t>малой и средней мощности серии RI</t>
  </si>
  <si>
    <t>.Входное напряжение 1х220В, выходное напряжение 3х220В.</t>
  </si>
  <si>
    <t>Мощность двигателя</t>
  </si>
  <si>
    <t>Тип ЧРП</t>
  </si>
  <si>
    <t>RI10</t>
  </si>
  <si>
    <t>цена</t>
  </si>
  <si>
    <t>0.2 кВт</t>
  </si>
  <si>
    <t>RI10-0R2G-S2</t>
  </si>
  <si>
    <t>1.5 кВт</t>
  </si>
  <si>
    <t>RI10-1R5G-S2</t>
  </si>
  <si>
    <t>0.4 кВт</t>
  </si>
  <si>
    <t>RI10-0R4G-S2</t>
  </si>
  <si>
    <t>2.2 кВт</t>
  </si>
  <si>
    <t>RI10-2R2G-S2</t>
  </si>
  <si>
    <t>0.75 кВт</t>
  </si>
  <si>
    <t>RI10-0R7G-S2</t>
  </si>
  <si>
    <t xml:space="preserve">    Входное напряжение 3х380В.</t>
  </si>
  <si>
    <t>Общепромышленная нагрузка</t>
  </si>
  <si>
    <t xml:space="preserve">Насосно-вентиляторная нагрузка </t>
  </si>
  <si>
    <t>RI10, цена</t>
  </si>
  <si>
    <t>RI100</t>
  </si>
  <si>
    <t>RI200</t>
  </si>
  <si>
    <t>RI10-0R7G-4</t>
  </si>
  <si>
    <t>RI100-0R7G-4</t>
  </si>
  <si>
    <t>7 455</t>
  </si>
  <si>
    <t>-</t>
  </si>
  <si>
    <t>1.5   кВт</t>
  </si>
  <si>
    <t>RI10-1R5G-4</t>
  </si>
  <si>
    <t>RI100-1R5G-4</t>
  </si>
  <si>
    <t>RI200-1R5G-4</t>
  </si>
  <si>
    <t>2.2   кВт</t>
  </si>
  <si>
    <t>RI10-2R2G-4</t>
  </si>
  <si>
    <t>RI100-2R2G-4</t>
  </si>
  <si>
    <t>RI200-2R2G-4</t>
  </si>
  <si>
    <t>4     кВт</t>
  </si>
  <si>
    <t>RI100-004G-4</t>
  </si>
  <si>
    <t>RI200-004G/5R5P-4</t>
  </si>
  <si>
    <t>5.5  кВт</t>
  </si>
  <si>
    <t>RI100-5R5G-4</t>
  </si>
  <si>
    <t>RI200-5R5G/7R5P-4</t>
  </si>
  <si>
    <t>7.5   кВт</t>
  </si>
  <si>
    <t>RI100-7R5G-4</t>
  </si>
  <si>
    <t>RI200-7R5G/011P-4</t>
  </si>
  <si>
    <t>11   кВт</t>
  </si>
  <si>
    <t>RI100-011G-4</t>
  </si>
  <si>
    <t>RI200-011G/015P-4</t>
  </si>
  <si>
    <t>15   кВт</t>
  </si>
  <si>
    <t>RI100-015G-4</t>
  </si>
  <si>
    <t>RI200-015G/018P-4</t>
  </si>
  <si>
    <t>18.5 кВт</t>
  </si>
  <si>
    <t>RI200-018G/022P-4</t>
  </si>
  <si>
    <t>22  кВт</t>
  </si>
  <si>
    <t>RI200-022G/030P-4</t>
  </si>
  <si>
    <t>30  кВт</t>
  </si>
  <si>
    <t>RI200-030G/037P-4</t>
  </si>
  <si>
    <t>37  кВт</t>
  </si>
  <si>
    <t>RI200-037G/045P-4</t>
  </si>
  <si>
    <t>45  кВт</t>
  </si>
  <si>
    <t>RI200-045G/055P-4</t>
  </si>
  <si>
    <t>55  кВт</t>
  </si>
  <si>
    <t>RI200-055G/075P-4</t>
  </si>
  <si>
    <t>75  кВт</t>
  </si>
  <si>
    <t>RI200-075G/090P-4</t>
  </si>
  <si>
    <t xml:space="preserve">90  кВт </t>
  </si>
  <si>
    <t>RI200-090G/110P-4</t>
  </si>
  <si>
    <t>110 кВт</t>
  </si>
  <si>
    <t>RI200-110G/132P-4</t>
  </si>
  <si>
    <t>132 кВт</t>
  </si>
  <si>
    <t>RI200-132G/160P-4</t>
  </si>
  <si>
    <t>160 кВт</t>
  </si>
  <si>
    <t>RI200-160G/185P-4</t>
  </si>
  <si>
    <t>185 кВт</t>
  </si>
  <si>
    <t>RI200-185G/200P-4</t>
  </si>
  <si>
    <t>200 кВт</t>
  </si>
  <si>
    <t>RI200-200G/220P-4</t>
  </si>
  <si>
    <t>220 кВт</t>
  </si>
  <si>
    <t>RI200-220G/250P-4</t>
  </si>
  <si>
    <t>250 кВт</t>
  </si>
  <si>
    <t>RI200-250G/280P-4</t>
  </si>
  <si>
    <t>280 кВт</t>
  </si>
  <si>
    <t>RI200-280G/315P-4</t>
  </si>
  <si>
    <t>315 кВт</t>
  </si>
  <si>
    <t>RI200-315G/350P-4</t>
  </si>
  <si>
    <t>Цены указаны в рублях и включают НДС.</t>
  </si>
  <si>
    <t xml:space="preserve">стр.1 </t>
  </si>
  <si>
    <t>общепромышленные серии RV</t>
  </si>
  <si>
    <t>RVS 0003..0061 5А2Н1 SSSA1A2 (IP21,ТП, Вх.фильтр, ЭМС-фильтр ур.Н), RVS 0072..0205 5А2Н0SSS A1A2(IP21, Вх.фильтр,ЭМС-ф. ур. Н),  RVS 0261…0300 5A2H0 SSF A1A2 (IP21, ТП нет, Вх. фильтр, ЭМС-фильтр уровня Н),</t>
  </si>
  <si>
    <t>RVS 0385...0520 5А2L0 SSА A1A2 (IP21, напольное исполнение, встроенные предохранители, ТП нет, Вх. фильтр, ЭМС-фильтр уровня L).</t>
  </si>
  <si>
    <t xml:space="preserve">В прайс-листе преобразователи частоты открытого исполнения для монтажа в шкафы. Благодаря простой и компактной конструкции модуля преобразователя, проектирование шкафа не составляет труда.                                         </t>
  </si>
  <si>
    <t>Входное напряжение ~3 ф 380В.</t>
  </si>
  <si>
    <t xml:space="preserve">Общепромышленная нагрузка </t>
  </si>
  <si>
    <t>Насосно-вентиляционная нагрузка</t>
  </si>
  <si>
    <t>Универсальный</t>
  </si>
  <si>
    <t>Общепромышленный</t>
  </si>
  <si>
    <t>Точный и высокоточный</t>
  </si>
  <si>
    <t>0.37 кВт</t>
  </si>
  <si>
    <t xml:space="preserve"> RVL </t>
  </si>
  <si>
    <t>0.55 кВт</t>
  </si>
  <si>
    <t>1.1 кВт</t>
  </si>
  <si>
    <t>3 кВт</t>
  </si>
  <si>
    <t>4 кВт</t>
  </si>
  <si>
    <t>5.5 кВт</t>
  </si>
  <si>
    <t>7.5 кВт</t>
  </si>
  <si>
    <t>11 кВт</t>
  </si>
  <si>
    <t>15 кВт</t>
  </si>
  <si>
    <t>22 кВт</t>
  </si>
  <si>
    <t>30 кВт</t>
  </si>
  <si>
    <t xml:space="preserve">RVS </t>
  </si>
  <si>
    <t>37 кВт</t>
  </si>
  <si>
    <t>45 кВт</t>
  </si>
  <si>
    <t>55 кВт</t>
  </si>
  <si>
    <t>75 кВт</t>
  </si>
  <si>
    <t>90 кВт</t>
  </si>
  <si>
    <t>Напольное исполнение</t>
  </si>
  <si>
    <t>Модуль исполнение IP00</t>
  </si>
  <si>
    <t>стр.2</t>
  </si>
  <si>
    <t>общепромышленные серии NX</t>
  </si>
  <si>
    <t>NXS 0003..0061 5А2Н1 SSSA1A2 (IP21,ТП, Вх.фильтр, ЭМС-фильтр ур.Н), NXS 0072..0205 5А2Н0SSS A1A2(IP21, Вх.фильтр,ЭМС-ф. ур. Н),  NXS 0261…0300 5A2H0 SSF A1A2 (IP21, ТП нет, Вх. фильтр, ЭМС-фильтр уровня Н),</t>
  </si>
  <si>
    <t>NXS 0385...0520 5А2L0 SSА A1A2 (IP21, напольное исполнение, встроенные предохранители, ТП нет, Вх. фильтр, ЭМС-фильтр уровня L).</t>
  </si>
  <si>
    <t xml:space="preserve"> NXL </t>
  </si>
  <si>
    <t xml:space="preserve">NXS </t>
  </si>
  <si>
    <t xml:space="preserve">NXP </t>
  </si>
  <si>
    <t>Модульное исполнение IP00</t>
  </si>
  <si>
    <t>- Цены указаны в рублях и включают НДС.</t>
  </si>
  <si>
    <r>
      <t>цена</t>
    </r>
    <r>
      <rPr>
        <sz val="12"/>
        <rFont val="Arial"/>
        <family val="2"/>
      </rPr>
      <t xml:space="preserve"> </t>
    </r>
  </si>
  <si>
    <r>
      <t xml:space="preserve">RVL - универсальный - </t>
    </r>
    <r>
      <rPr>
        <sz val="14"/>
        <color indexed="8"/>
        <rFont val="Arial"/>
        <family val="2"/>
      </rPr>
      <t xml:space="preserve">для применения в промышленности и жилищно-коммунальном хозяйстве. Обеспечивает управление группой насосов. </t>
    </r>
    <r>
      <rPr>
        <sz val="14"/>
        <rFont val="Arial"/>
        <family val="2"/>
      </rPr>
      <t>Алюминиевый корпус, встроенный ЭМС фильтр, дроссель переменного тока в стандартной комплектации.</t>
    </r>
  </si>
  <si>
    <r>
      <t xml:space="preserve">RVP 0385..0650 5A0N0 SSA A1A2 (IP00, сетевые дроссели </t>
    </r>
    <r>
      <rPr>
        <sz val="14"/>
        <rFont val="Arial"/>
        <family val="2"/>
      </rPr>
      <t xml:space="preserve">‑ </t>
    </r>
    <r>
      <rPr>
        <sz val="14"/>
        <color indexed="8"/>
        <rFont val="Arial"/>
        <family val="2"/>
      </rPr>
      <t>в комплекте поставки, ТП нет, ЭМС-фильтра нет).</t>
    </r>
  </si>
  <si>
    <r>
      <t xml:space="preserve">RVL </t>
    </r>
    <r>
      <rPr>
        <b/>
        <sz val="11"/>
        <rFont val="Arial"/>
        <family val="2"/>
      </rPr>
      <t>цена</t>
    </r>
  </si>
  <si>
    <r>
      <t xml:space="preserve">RVS </t>
    </r>
    <r>
      <rPr>
        <b/>
        <sz val="11"/>
        <rFont val="Arial"/>
        <family val="2"/>
      </rPr>
      <t>цена</t>
    </r>
  </si>
  <si>
    <r>
      <t>RVP</t>
    </r>
    <r>
      <rPr>
        <b/>
        <sz val="11"/>
        <rFont val="Arial"/>
        <family val="2"/>
      </rPr>
      <t xml:space="preserve"> цена</t>
    </r>
    <r>
      <rPr>
        <b/>
        <sz val="11"/>
        <color indexed="8"/>
        <rFont val="Arial"/>
        <family val="2"/>
      </rPr>
      <t xml:space="preserve"> </t>
    </r>
  </si>
  <si>
    <r>
      <t>RV_</t>
    </r>
    <r>
      <rPr>
        <b/>
        <sz val="11"/>
        <rFont val="Arial"/>
        <family val="2"/>
      </rPr>
      <t xml:space="preserve"> цена</t>
    </r>
  </si>
  <si>
    <r>
      <t xml:space="preserve">NXL - универсальный - </t>
    </r>
    <r>
      <rPr>
        <sz val="14"/>
        <color indexed="8"/>
        <rFont val="Arial"/>
        <family val="2"/>
      </rPr>
      <t xml:space="preserve">для применения в промышленности и жилищно-коммунальном хозяйстве. Обеспечивает управление группой насосов. </t>
    </r>
    <r>
      <rPr>
        <sz val="14"/>
        <rFont val="Arial"/>
        <family val="2"/>
      </rPr>
      <t>Алюминиевый корпус, встроенный ЭМС фильтр, дроссель переменного тока в стандартной комплектации.</t>
    </r>
  </si>
  <si>
    <r>
      <t xml:space="preserve">NXР - точный и высокоскоростной - </t>
    </r>
    <r>
      <rPr>
        <sz val="14"/>
        <color indexed="8"/>
        <rFont val="Arial"/>
        <family val="2"/>
      </rPr>
      <t xml:space="preserve">Для сложных систем автоматизации обеспечивает точные и высокоскоростные характеристики управления. Стоимость в прайсе для комплектации:                                            </t>
    </r>
  </si>
  <si>
    <r>
      <t xml:space="preserve">NXL </t>
    </r>
    <r>
      <rPr>
        <b/>
        <sz val="12"/>
        <rFont val="Arial"/>
        <family val="2"/>
      </rPr>
      <t>цена</t>
    </r>
    <r>
      <rPr>
        <b/>
        <sz val="12"/>
        <color indexed="8"/>
        <rFont val="Arial"/>
        <family val="2"/>
      </rPr>
      <t xml:space="preserve"> </t>
    </r>
  </si>
  <si>
    <r>
      <t xml:space="preserve">NXS </t>
    </r>
    <r>
      <rPr>
        <b/>
        <sz val="12"/>
        <rFont val="Arial"/>
        <family val="2"/>
      </rPr>
      <t>цена</t>
    </r>
  </si>
  <si>
    <r>
      <t xml:space="preserve">NXP </t>
    </r>
    <r>
      <rPr>
        <b/>
        <sz val="12"/>
        <rFont val="Arial"/>
        <family val="2"/>
      </rPr>
      <t>цена</t>
    </r>
  </si>
  <si>
    <r>
      <t>NX_</t>
    </r>
    <r>
      <rPr>
        <b/>
        <sz val="12"/>
        <rFont val="Arial"/>
        <family val="2"/>
      </rPr>
      <t xml:space="preserve"> цена</t>
    </r>
  </si>
  <si>
    <t>Преобразователь частоты  RI10 – для применения в промышленности и на объектах ЖКХ. Встроенный ЭМС фильтр уровня С3, RS485 (Modbus RTU). Управление в скалярном режиме (U/f). ПИД – регулятор. Перегрузочная способность 150% в течение 1 мин. Штатные входы/выходы: 1AI, 1AO, 5DI, 1DO, 1RO. Встроенный вентилятор охлаждения для моделей 1ф 220В: 1,5 – 2.2 кВт, 3ф 380В 0,75-2,2 Степень защиты IP20.</t>
  </si>
  <si>
    <t>Преобразователь частоты RI100 – общего назначения. Обеспечивает отличное качество управления двигателем и прост в использовании. Встроенный ЭМС фильтр уровня С3, RS485 (Modbus RTU), встроенный тормозной прерыватель в стандартной комплектации. Управление в скалярном режиме (U/f) и в векторном без датчика обратной связи. ПИД – регулятор. Перегрузочная способность 150% в течение 1 мин. Штатные входы/выходы: 2AI, 2AO, 5DI, 2RO. Степень защиты IP20.</t>
  </si>
  <si>
    <t xml:space="preserve"> Преобразователь частоты  RI200 - общего назначения. Типы нагрузок: G-постоянный момент (перегрузочная способность 150% Iн в течение 1 минуты); Р-переменный момент (перегрузочная способность 120% Iн в течение 1 минуты).  Обеспечивает отличное качество управления двигателем и прост в использовании. Встроенный ЭМС фильтр уровня С3, RS485 (Modbus RTU),  Profibus (опция), встроенный тормозной прерыватель для мощностей до 30 кВт включительно, для всех остальных – внешний тормозной модуль. Управление в скалярном режиме (U/f).  ПИД – регулятор. Управление группой насосов/вентиляторов (до трёх). Штатные входы/выходы: 3AI, 2AO, 8DI, 1HDI, 1HDO, 2RO. Степень защиты IP20.</t>
  </si>
  <si>
    <t xml:space="preserve">Стоимость в прайсе для комплектации:     RVL 0002 2С1N0   SSS (IP20, ТП нет, Вх. фильтр, ЭМС-фильтра нет),       RVL0003...0006 2С1N1SSS (IP20, Вх. фильтр, ЭМС-фильтра нет),    RVL 0001...2 5С1N0SSS(IP20, ТП нет, Вх. фильтр,ЭМС-фильтра нет),  RVL0003...0005 5С1N1SSS (IP20, Вх. фильтр, ЭМС-фильтра нет),    RVL 0007...0061 5С2Н1 SSS (IP21, Вх. фильтр, ЭМС-фильтр уровня Н). </t>
  </si>
  <si>
    <r>
      <t xml:space="preserve"> </t>
    </r>
    <r>
      <rPr>
        <b/>
        <sz val="14"/>
        <color indexed="8"/>
        <rFont val="Arial"/>
        <family val="2"/>
      </rPr>
      <t xml:space="preserve">RVS - общепромышленный - </t>
    </r>
    <r>
      <rPr>
        <sz val="14"/>
        <color indexed="8"/>
        <rFont val="Arial"/>
        <family val="2"/>
      </rPr>
      <t xml:space="preserve">для эксплуатации в промышленности (конвейеры, экструдеры, центрифуги) и в жилищно-коммунальном хозяйстве. Обеспечивает управление группой насосов. </t>
    </r>
    <r>
      <rPr>
        <sz val="14"/>
        <rFont val="Arial"/>
        <family val="2"/>
      </rPr>
      <t xml:space="preserve">Встроенный ЭМС фильтр, дроссель переменного тока в стандартной комплектации.  </t>
    </r>
    <r>
      <rPr>
        <sz val="14"/>
        <color indexed="8"/>
        <rFont val="Arial"/>
        <family val="2"/>
      </rPr>
      <t xml:space="preserve">Стоимость в прайсе для комплектации:                                            </t>
    </r>
  </si>
  <si>
    <r>
      <t>RVР - точный и высокоскоростной -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для областей применения, где нужно совмещать высокую точность и динамику управления с большой мощностью и надежностью оборудования. Широкий выбор конструктивных исполнений: настенного или напольного монтажа IP21/IP54, шкафного исполнения с широким спектром опционных устройств и модули открытого исполнения IP00 для монтажа в шкафы.</t>
    </r>
  </si>
  <si>
    <r>
      <t>Стоимость в прайсе для комплектации:</t>
    </r>
    <r>
      <rPr>
        <b/>
        <sz val="14"/>
        <color indexed="8"/>
        <rFont val="Arial"/>
        <family val="2"/>
      </rPr>
      <t xml:space="preserve">                                            </t>
    </r>
    <r>
      <rPr>
        <sz val="14"/>
        <color indexed="8"/>
        <rFont val="Arial"/>
        <family val="2"/>
      </rPr>
      <t xml:space="preserve">NXL 0002 2С1N0   SSS (IP20, ТП нет, Вх. фильтр, ЭМС-фильтра нет),       NXL0003...0006 2С1N1SSS (IP20, Вх. фильтр, ЭМС-фильтра нет),    NXL 0001...2 5С1N0SSS(IP20, ТП нет, Вх. фильтр,ЭМС-фильтра нет),  NXL0003...0005 5С1N1SSS (IP20, Вх. фильтр, ЭМС-фильтра нет),    NXL 0007...0061 5С2Н1 SSS (IP21, Вх. фильтр, ЭМС-фильтр уровня Н)   </t>
    </r>
    <r>
      <rPr>
        <b/>
        <sz val="14"/>
        <color indexed="8"/>
        <rFont val="Arial"/>
        <family val="2"/>
      </rPr>
      <t xml:space="preserve">NXS - общепромышленный - </t>
    </r>
    <r>
      <rPr>
        <sz val="14"/>
        <color indexed="8"/>
        <rFont val="Arial"/>
        <family val="2"/>
      </rPr>
      <t xml:space="preserve">для эксплуатации в промышленности (конвейеры, экструдеры, центрифуги) и в жилищно-коммунальном хозяйстве. Обеспечивает управление группой насосов. </t>
    </r>
    <r>
      <rPr>
        <sz val="14"/>
        <rFont val="Arial"/>
        <family val="2"/>
      </rPr>
      <t xml:space="preserve">Встроенный ЭМС фильтр, дроссель переменного тока в стандартной комплектации.  </t>
    </r>
    <r>
      <rPr>
        <sz val="14"/>
        <color indexed="8"/>
        <rFont val="Arial"/>
        <family val="2"/>
      </rPr>
      <t xml:space="preserve">Стоимость в прайсе для комплектации:                                            </t>
    </r>
  </si>
  <si>
    <r>
      <t xml:space="preserve">NXP 0003..0061 5A2Н1SSSA1A2 (IP21,ТП,Вх. фильтр,ЭМС-фильтр ур.Н), NXP 0072..0205 5A2Н0SSSA1A2 (IP21, Вх. фильтр, ЭМС-ф. ур Н), NXP 0261...0300 5A2Н0SSFA1A2 (IP21,ТП нет,Вх.фильтр, ЭМС-ф.ур. Н)  NXP 0385..05205A2L0SSAA1A2 (наполь. исп.,ТП нет,ЭМС‑ф ур. L) NXP 0385..0590 5A0N0 SSA A1A2 (IP00, сетевые дроссели </t>
    </r>
    <r>
      <rPr>
        <sz val="14"/>
        <rFont val="Arial"/>
        <family val="2"/>
      </rPr>
      <t xml:space="preserve">‑ </t>
    </r>
    <r>
      <rPr>
        <sz val="14"/>
        <color indexed="8"/>
        <rFont val="Arial"/>
        <family val="2"/>
      </rPr>
      <t>в комплекте поставки, ТП нет, ЭМС-фильтра нет).</t>
    </r>
  </si>
  <si>
    <t xml:space="preserve">Тел. (4872) 70-05-47, 37-69-91, 70-05-46, 37-69-85,49-38-62,                </t>
  </si>
  <si>
    <t>моб. 8 910-705-55-87, 8 910-704-82-74</t>
  </si>
  <si>
    <t>ЭЛЕКТРОДВИГАТЕЛИ (Общепромышленные) IP54-IP55</t>
  </si>
  <si>
    <t>Цены с НДС на 01.10.2012 г</t>
  </si>
  <si>
    <t xml:space="preserve">Цены для двигателей основных исп.: климатическое У3, монтажное 1М1081. Надбавки к ценам </t>
  </si>
  <si>
    <t>ЭЛЕКТРОДВИГАТЕЛИ (Общепромышленные)</t>
  </si>
  <si>
    <t>кВт,об/мин</t>
  </si>
  <si>
    <t xml:space="preserve"> Тип эл.  двигателя   </t>
  </si>
  <si>
    <t xml:space="preserve">АИР 80 А2        </t>
  </si>
  <si>
    <t>Электромотор</t>
  </si>
  <si>
    <t xml:space="preserve">АИР 90 L2   </t>
  </si>
  <si>
    <t xml:space="preserve">5АМ (5АИ)280М4   </t>
  </si>
  <si>
    <t xml:space="preserve">5АM (5АИ)315S2   </t>
  </si>
  <si>
    <t xml:space="preserve">АИР 100 S2      </t>
  </si>
  <si>
    <t xml:space="preserve">АИР 100 L2      </t>
  </si>
  <si>
    <t xml:space="preserve">5АМ (5АИ)315М2   </t>
  </si>
  <si>
    <t xml:space="preserve">5А (5АИ)355М6     </t>
  </si>
  <si>
    <t xml:space="preserve">АИР-А112М2   </t>
  </si>
  <si>
    <t xml:space="preserve">5А (5АИ)355M4     </t>
  </si>
  <si>
    <t xml:space="preserve">5А (5АИ)355В4     </t>
  </si>
  <si>
    <t xml:space="preserve">ЭЛЕКТРОДВИГАТЕЛИ (Общепромышленные) IP23      </t>
  </si>
  <si>
    <t xml:space="preserve">ЭЛЕКТРОДВИГАТЕЛИ </t>
  </si>
  <si>
    <t>кВт/об/мин</t>
  </si>
  <si>
    <t>ВА 112 М2</t>
  </si>
  <si>
    <t>5АН 200 L2   У3</t>
  </si>
  <si>
    <t>IP 23</t>
  </si>
  <si>
    <t>5АMН 280 М2   У3</t>
  </si>
  <si>
    <t>ВА 132 М2</t>
  </si>
  <si>
    <t>5АН 200 М2   У3</t>
  </si>
  <si>
    <t>5АMН 280 М4   У3</t>
  </si>
  <si>
    <t>ВА 132 S4</t>
  </si>
  <si>
    <t>5АН 200 L4    У3</t>
  </si>
  <si>
    <t>5АMН 280 S4   У3</t>
  </si>
  <si>
    <t>ВА 132 М4</t>
  </si>
  <si>
    <t>5АН 200 М4   У3</t>
  </si>
  <si>
    <t>5АMН 280 M6   У3</t>
  </si>
  <si>
    <t>ВА 160 S2</t>
  </si>
  <si>
    <t xml:space="preserve">5АН 200 L6   У3   </t>
  </si>
  <si>
    <t>5АMН 280 S8   У3</t>
  </si>
  <si>
    <t>ВА 160 S4</t>
  </si>
  <si>
    <t>5АН 200 М6   У3</t>
  </si>
  <si>
    <t>5АMН 315 M2  У3</t>
  </si>
  <si>
    <t>ВА 160 М2</t>
  </si>
  <si>
    <t>5АMН 250 M2   У3</t>
  </si>
  <si>
    <t>5АМН 315 S2    У3</t>
  </si>
  <si>
    <t>ВА 160 М4</t>
  </si>
  <si>
    <t>5АМН 250 S2   У3</t>
  </si>
  <si>
    <t>5АMН 315 M4  У3</t>
  </si>
  <si>
    <t>ВА 180 S2</t>
  </si>
  <si>
    <t>5АMН 250 M4   У3</t>
  </si>
  <si>
    <t>5АMН 315 S4   У3</t>
  </si>
  <si>
    <t>ВА 180 S4</t>
  </si>
  <si>
    <t xml:space="preserve">5АМН 250 S4   У3   </t>
  </si>
  <si>
    <t>5АMН 315 M6  У3</t>
  </si>
  <si>
    <t>ВА 180 М2</t>
  </si>
  <si>
    <t>5АMН 250 M6   У3</t>
  </si>
  <si>
    <t>5АMН 315 S6  У3</t>
  </si>
  <si>
    <t>ВА 180 М4</t>
  </si>
  <si>
    <t>5АMН 250 M8   У3</t>
  </si>
  <si>
    <t>5АMН 315 M8  У3</t>
  </si>
  <si>
    <t>132*750</t>
  </si>
  <si>
    <t>ВА 200 М2</t>
  </si>
  <si>
    <t>5АMН 250 S8   У3</t>
  </si>
  <si>
    <t>5АMН 315 S8  У3</t>
  </si>
  <si>
    <t>ВА 200 L2</t>
  </si>
  <si>
    <t xml:space="preserve">    ЭЛЕКТРОДВИГАТЕЛИ (Высоковольтные), ЭЛЕКТРОДВИГАТЕЛИ (Крановые) ,  ПРЕОБРАЗОВАТЕЛИ ЧАСТОТЫ</t>
  </si>
  <si>
    <t>и ЭЛЕКТРОПРИВОДА   по Заявке.</t>
  </si>
  <si>
    <t>Цены подлежат уточнению.</t>
  </si>
  <si>
    <r>
      <t xml:space="preserve">Научно - производственное предприятие "Г И Д Р О А П П А Р А Т У Р А"   </t>
    </r>
    <r>
      <rPr>
        <b/>
        <i/>
        <sz val="20"/>
        <rFont val="Verdana"/>
        <family val="2"/>
      </rPr>
      <t xml:space="preserve"> </t>
    </r>
    <r>
      <rPr>
        <b/>
        <i/>
        <sz val="22"/>
        <rFont val="Verdana"/>
        <family val="2"/>
      </rPr>
      <t>Главному Энергетику</t>
    </r>
  </si>
  <si>
    <r>
      <t xml:space="preserve">(Взрывозащищенные)  </t>
    </r>
    <r>
      <rPr>
        <b/>
        <sz val="14"/>
        <rFont val="Comic Sans MS"/>
        <family val="4"/>
      </rPr>
      <t>25.03.2011</t>
    </r>
  </si>
  <si>
    <t>*Цены от 01.07.2013 года с учётом  НДС 18%</t>
  </si>
  <si>
    <t xml:space="preserve">           ЧЛЕН РОССИЙСКОЙ АССОЦИАЦИИ ПРОИЗВОДИТЕЛЕЙНАСОСОВ (РАПН)</t>
  </si>
  <si>
    <t>0,18-0,75</t>
  </si>
  <si>
    <t>0,37-0,75</t>
  </si>
  <si>
    <t>0,75-1,1</t>
  </si>
  <si>
    <t>0,75-3</t>
  </si>
  <si>
    <t xml:space="preserve">  0,12 -0,75</t>
  </si>
  <si>
    <t>0,18-2,2</t>
  </si>
  <si>
    <t>0,18-4</t>
  </si>
  <si>
    <t>0,55-3</t>
  </si>
  <si>
    <t>1,5-7,5</t>
  </si>
  <si>
    <t>5,5-11</t>
  </si>
  <si>
    <t>5,5-7,5</t>
  </si>
  <si>
    <t xml:space="preserve">  3*3000</t>
  </si>
  <si>
    <t xml:space="preserve">  3*1500</t>
  </si>
  <si>
    <t xml:space="preserve">Цены для двигателей основны*исп.: климатическое У3, монтажное 1М1081. Надбавки к ценам </t>
  </si>
  <si>
    <t>5АН 200 L2  У3 IP23</t>
  </si>
  <si>
    <t>5АН 200 М2  У3 IP23</t>
  </si>
  <si>
    <t>5АН 200 М4  У3 IP23</t>
  </si>
  <si>
    <t>5АMН 250 M2  У3 IP23</t>
  </si>
  <si>
    <t>5АМН 250 S2  У3 IP23</t>
  </si>
  <si>
    <t>5АMН 250 M4  У3 IP23</t>
  </si>
  <si>
    <t>5АМН 250 S4  У3 IP23</t>
  </si>
  <si>
    <t>5АMН 250 M6  У3 IP23</t>
  </si>
  <si>
    <t>5АMН 250 M8  У3 IP23</t>
  </si>
  <si>
    <t>5АMН 280 М2  У3 IP23</t>
  </si>
  <si>
    <t>5АMН 315 M2  У3 IP23</t>
  </si>
  <si>
    <t>5АMН 315 M6  У3 IP23</t>
  </si>
  <si>
    <t>5АMН 280 М4  У3 IP23</t>
  </si>
  <si>
    <t>5АMН 315 S6  У3 IP23</t>
  </si>
  <si>
    <t>5АMН 280 S4  У3 IP23</t>
  </si>
  <si>
    <t>5АMН 315 M4  У3 IP23</t>
  </si>
  <si>
    <t>5АMН 280 M6  У3 IP23</t>
  </si>
  <si>
    <t>5АMН 315 S4  У3 IP23</t>
  </si>
  <si>
    <t>5АMН 315 S8  У3 IP23</t>
  </si>
  <si>
    <t>5АMН 280 S8  У3 IP23</t>
  </si>
  <si>
    <t xml:space="preserve">300024, г. Тула,Иншинский проезд, д. 26, ( Лихвинка)  </t>
  </si>
  <si>
    <t xml:space="preserve">АИР 80 А2    </t>
  </si>
  <si>
    <t xml:space="preserve">АИР 100 S2   </t>
  </si>
  <si>
    <t xml:space="preserve">АИР 100 L2   </t>
  </si>
  <si>
    <t>5АН 200 L4  У3 IP23</t>
  </si>
  <si>
    <t xml:space="preserve">5А (5АИ)355М6   </t>
  </si>
  <si>
    <t xml:space="preserve">5А (5АИ)355M4   </t>
  </si>
  <si>
    <t xml:space="preserve">5А (5АИ)355В4   </t>
  </si>
  <si>
    <t>5АМН 315 S2  У3 IP23</t>
  </si>
  <si>
    <t>№ 5    исп.1</t>
  </si>
  <si>
    <t>№ 6,3  исп.5</t>
  </si>
  <si>
    <t>№ 8    исп.5</t>
  </si>
  <si>
    <t>ВЕНТИЛЯТОРЫ                                                           ДЛЯ ГРАДИРЕН</t>
  </si>
  <si>
    <t>стр. 5 из 8</t>
  </si>
  <si>
    <t>Цены с НДС на 01.03.2011 года</t>
  </si>
  <si>
    <t>ЗАДВИЖКИ чугунные (ручные)</t>
  </si>
  <si>
    <t xml:space="preserve">30ч6бр(31ч6бр) </t>
  </si>
  <si>
    <t xml:space="preserve"> фланцевая,</t>
  </si>
  <si>
    <t xml:space="preserve">    параллельная, </t>
  </si>
  <si>
    <t xml:space="preserve">вода, пар, </t>
  </si>
  <si>
    <t xml:space="preserve">      РУ=10, t=225°</t>
  </si>
  <si>
    <t>30ч39р (М3ВГ)</t>
  </si>
  <si>
    <t>31ч39р (М3В)</t>
  </si>
  <si>
    <t>фланцевая, ручная,</t>
  </si>
  <si>
    <t>с обрезным клином, холодная вода,</t>
  </si>
  <si>
    <t>РУ=10, t=75°</t>
  </si>
  <si>
    <t>ЦИРКУЛЯЦИОННЫЕ ИМПОРТНЫЕ  НАСОСЫ С МОКРЫМ РОТОРОМ</t>
  </si>
  <si>
    <t xml:space="preserve">Имеет встроенный электронный блок управления, который отслеживает  изменения расхода в системе отопления и </t>
  </si>
  <si>
    <t xml:space="preserve">автоматически  изменяет рабочие характеристики насоса в соответствии с требованиями системы, таким образом </t>
  </si>
  <si>
    <t xml:space="preserve">экономится до 60% И  снижается  шум в  трубопроводах. </t>
  </si>
  <si>
    <t>БЦП 0,4-63 (1,44-63)</t>
  </si>
  <si>
    <t>ШН7К     ЧУГУН</t>
  </si>
  <si>
    <t>С 416М 11/380</t>
  </si>
  <si>
    <t>1Ц2У-250П</t>
  </si>
  <si>
    <t>32ВФ 23/1,5</t>
  </si>
  <si>
    <t>К1 2,2/380</t>
  </si>
  <si>
    <t>КВ15 5,5/380</t>
  </si>
  <si>
    <t>1Ц2У-315</t>
  </si>
  <si>
    <t>2ВТ 1-1,5/17</t>
  </si>
  <si>
    <t>К2 5,5/380</t>
  </si>
  <si>
    <t>К3 11/380Х2</t>
  </si>
  <si>
    <t>Ц2У-400</t>
  </si>
  <si>
    <t>К5 5,5/380</t>
  </si>
  <si>
    <t>2ВУ 0,35-0,5/7,3</t>
  </si>
  <si>
    <t>К6 11/380</t>
  </si>
  <si>
    <t>Ц2-250</t>
  </si>
  <si>
    <t>2ВУ 0,6-1,0-7,3</t>
  </si>
  <si>
    <t>на насосы СМ 80 - СМ 250 от 01.07.2013</t>
  </si>
  <si>
    <t>ЭЦВ 8-16-140 noryl</t>
  </si>
  <si>
    <t>ЭЦВ 8-16-180 noryl</t>
  </si>
  <si>
    <t>ЭЦВ 8-16-200 noryl</t>
  </si>
  <si>
    <t>ЭЦВ 8-25-70 noryl</t>
  </si>
  <si>
    <t>ЭЦВ 8-25-100 noryl</t>
  </si>
  <si>
    <t>ЭЦВ 8-25-125 noryl</t>
  </si>
  <si>
    <t>ЭЦВ 8-25-150 noryl</t>
  </si>
  <si>
    <t>ЭЦВ 8-25-180 noryl</t>
  </si>
  <si>
    <t>ЭЦВ 8-25-230 noryl</t>
  </si>
  <si>
    <t>ЭЦВ 8-40-55 noryl</t>
  </si>
  <si>
    <r>
      <t>ЭЦВ 8-40-60</t>
    </r>
    <r>
      <rPr>
        <b/>
        <sz val="11"/>
        <rFont val="Arial"/>
        <family val="2"/>
      </rPr>
      <t>нрк</t>
    </r>
  </si>
  <si>
    <t>ЭЦВ 8-40-90 noryl</t>
  </si>
  <si>
    <r>
      <t>ЭЦВ 8-40-90</t>
    </r>
    <r>
      <rPr>
        <b/>
        <sz val="11"/>
        <rFont val="Arial"/>
        <family val="2"/>
      </rPr>
      <t>нрк</t>
    </r>
  </si>
  <si>
    <t>ЭЦВ 8-40-125 noryl</t>
  </si>
  <si>
    <r>
      <t>ЭЦВ 8-40-120</t>
    </r>
    <r>
      <rPr>
        <b/>
        <sz val="11"/>
        <rFont val="Arial"/>
        <family val="2"/>
      </rPr>
      <t>нрк</t>
    </r>
  </si>
  <si>
    <t>ЭЦВ 8-40-150 noryl</t>
  </si>
  <si>
    <r>
      <t>ЭЦВ 8-40-150</t>
    </r>
    <r>
      <rPr>
        <b/>
        <sz val="11"/>
        <rFont val="Arial"/>
        <family val="2"/>
      </rPr>
      <t>нрк</t>
    </r>
  </si>
  <si>
    <t>ЭЦВ 8-40-180 noryl</t>
  </si>
  <si>
    <r>
      <t>ЭЦВ 8-40-180</t>
    </r>
    <r>
      <rPr>
        <b/>
        <sz val="11"/>
        <rFont val="Arial"/>
        <family val="2"/>
      </rPr>
      <t>нрк</t>
    </r>
  </si>
  <si>
    <r>
      <t>ЭЦВ 8-40-200</t>
    </r>
    <r>
      <rPr>
        <b/>
        <sz val="11"/>
        <rFont val="Arial"/>
        <family val="2"/>
      </rPr>
      <t>нрк</t>
    </r>
  </si>
  <si>
    <t>ЭЦВ 8-65-90 noryl</t>
  </si>
  <si>
    <t>ЭЦВ 8-65-110noryl</t>
  </si>
  <si>
    <t>ЭЦВ 8-65-145noryl</t>
  </si>
  <si>
    <r>
      <t>ЭЦВ 10-65-65</t>
    </r>
    <r>
      <rPr>
        <b/>
        <sz val="11"/>
        <rFont val="Arial"/>
        <family val="2"/>
      </rPr>
      <t>нрк</t>
    </r>
    <r>
      <rPr>
        <sz val="11"/>
        <rFont val="Arial"/>
        <family val="2"/>
      </rPr>
      <t>/чл.</t>
    </r>
  </si>
  <si>
    <r>
      <t>ЭЦВ 10-65-110</t>
    </r>
    <r>
      <rPr>
        <b/>
        <sz val="11"/>
        <rFont val="Arial"/>
        <family val="2"/>
      </rPr>
      <t>нрк</t>
    </r>
    <r>
      <rPr>
        <sz val="11"/>
        <rFont val="Arial"/>
        <family val="2"/>
      </rPr>
      <t>(-100 чл)</t>
    </r>
  </si>
  <si>
    <r>
      <t>ЭЦВ 10-65-125</t>
    </r>
    <r>
      <rPr>
        <b/>
        <sz val="11"/>
        <rFont val="Arial"/>
        <family val="2"/>
      </rPr>
      <t>нрк</t>
    </r>
  </si>
  <si>
    <r>
      <t>ЭЦВ 10-65-150</t>
    </r>
    <r>
      <rPr>
        <b/>
        <sz val="11"/>
        <rFont val="Arial"/>
        <family val="2"/>
      </rPr>
      <t>нрк</t>
    </r>
  </si>
  <si>
    <r>
      <t>ЭЦВ 10-65-175</t>
    </r>
    <r>
      <rPr>
        <b/>
        <sz val="11"/>
        <rFont val="Arial"/>
        <family val="2"/>
      </rPr>
      <t>нрк</t>
    </r>
  </si>
  <si>
    <r>
      <t>ЭЦВ 10-65-200</t>
    </r>
    <r>
      <rPr>
        <b/>
        <sz val="11"/>
        <rFont val="Arial"/>
        <family val="2"/>
      </rPr>
      <t>нрк</t>
    </r>
  </si>
  <si>
    <r>
      <t>ЭЦВ 10-65-225</t>
    </r>
    <r>
      <rPr>
        <b/>
        <sz val="11"/>
        <rFont val="Arial"/>
        <family val="2"/>
      </rPr>
      <t>нрк</t>
    </r>
  </si>
  <si>
    <t>от 01.07.2013</t>
  </si>
  <si>
    <t>КТ16Э 11/380</t>
  </si>
  <si>
    <t>Ц2-300</t>
  </si>
  <si>
    <t>2ВУ 1,5-2,5/26М1</t>
  </si>
  <si>
    <t>ЭЦВ 6-10</t>
  </si>
  <si>
    <t>СДВ 160/45</t>
  </si>
  <si>
    <t>СД 160/45</t>
  </si>
  <si>
    <t>ВВН 1-12</t>
  </si>
  <si>
    <t>СМ 200-150-500</t>
  </si>
  <si>
    <t>2СМ 250-200-400</t>
  </si>
  <si>
    <t>Цены с НДС на 25.12.2011 г</t>
  </si>
  <si>
    <t>Ц2-350</t>
  </si>
  <si>
    <t>Ц2-400</t>
  </si>
  <si>
    <t>Ц2-650</t>
  </si>
  <si>
    <t>ЦЗУ-160</t>
  </si>
  <si>
    <t xml:space="preserve">ВОДОКАЛЬЦЕВЫЕ </t>
  </si>
  <si>
    <t>ЦЗУ-200 М</t>
  </si>
  <si>
    <t>ВК 1,5М1</t>
  </si>
  <si>
    <t>ВК 6М1</t>
  </si>
  <si>
    <t>ВК 15</t>
  </si>
  <si>
    <t>Бурун СХ 3,6/4М</t>
  </si>
  <si>
    <t>315(6кВ)*1500</t>
  </si>
  <si>
    <t>Станции защиты для насосов ЭЦВ "ЛОЦМАН" или  "СУЗ"</t>
  </si>
  <si>
    <t>СУиЗ "Лоцман +" -20 (20А)</t>
  </si>
  <si>
    <t>СУЗ-40 (10-40А)</t>
  </si>
  <si>
    <t>СУЗ-100 (30-100А)</t>
  </si>
  <si>
    <t xml:space="preserve"> СУЗ-200 (80-200А)</t>
  </si>
  <si>
    <t>Станция СУЗ-10 (3-10А)</t>
  </si>
  <si>
    <t>ВК-3М1</t>
  </si>
  <si>
    <t>ВК 12М1</t>
  </si>
  <si>
    <t>ЦЗУ-250МЦ</t>
  </si>
  <si>
    <t>ЦЗН-355</t>
  </si>
  <si>
    <t xml:space="preserve">НАСОСЫ ПЛАСТИНЧАТЫЕ НЕРЕГУЛИРУЕМЫЕ </t>
  </si>
  <si>
    <t>НПл 45-45/16</t>
  </si>
  <si>
    <t>НПл 45-45/17,5</t>
  </si>
  <si>
    <t>НПл 45-45/20</t>
  </si>
  <si>
    <t>НПл 45-5/16</t>
  </si>
  <si>
    <t>1ЦЗУВК-160</t>
  </si>
  <si>
    <t>НПл 45-5/17,5</t>
  </si>
  <si>
    <t>1ЦУВК-200</t>
  </si>
  <si>
    <t>НПл 45-5/20</t>
  </si>
  <si>
    <t>НПл 5/16</t>
  </si>
  <si>
    <t>НПл 5/17,5</t>
  </si>
  <si>
    <t>НПл 5/20</t>
  </si>
  <si>
    <t>НПл 5-5/16</t>
  </si>
  <si>
    <t>НПл 5-5/17,5</t>
  </si>
  <si>
    <t>НПл 5-5/20</t>
  </si>
  <si>
    <t>НПл 63/6,3</t>
  </si>
  <si>
    <t>Ч-80</t>
  </si>
  <si>
    <t>НПл 63-63/6,3</t>
  </si>
  <si>
    <t>Ч-100</t>
  </si>
  <si>
    <t>Ч-125</t>
  </si>
  <si>
    <t>Ч-160</t>
  </si>
  <si>
    <t>КСК,КП 3-6</t>
  </si>
  <si>
    <t>КСК,КП 3-7</t>
  </si>
  <si>
    <t>400(6кВ)*1500</t>
  </si>
  <si>
    <t>630(6кВ)*1500</t>
  </si>
  <si>
    <t>500(6кВ)*1500</t>
  </si>
  <si>
    <t>Цена нас.</t>
  </si>
  <si>
    <t>ЭЛЕКТРОПРИВОДЫ</t>
  </si>
  <si>
    <t>КСК,КП 3-8</t>
  </si>
  <si>
    <t>НМ ТЭ099088-00М</t>
  </si>
  <si>
    <t>КСК,КП 3-9</t>
  </si>
  <si>
    <t>НА ТЭ099058-01-16М1</t>
  </si>
  <si>
    <t>КСК,КП 3-10</t>
  </si>
  <si>
    <t>ВА ТЭ099059-00М</t>
  </si>
  <si>
    <t>КСК,КП 3-11</t>
  </si>
  <si>
    <t>НБ БО099098-01-18М1</t>
  </si>
  <si>
    <t>КСК,КП 3-12</t>
  </si>
  <si>
    <t>ВБ БО099099-01-09М1</t>
  </si>
  <si>
    <t xml:space="preserve">ЭЛЕКТРОДВИГАТЕЛИ (Общепромышленные)  </t>
  </si>
  <si>
    <t>КСК,КП 4-6</t>
  </si>
  <si>
    <t>НВ БО099100-01-41М1</t>
  </si>
  <si>
    <t>КСК,КП 4-7</t>
  </si>
  <si>
    <t>ВВ БО099101-01-12М</t>
  </si>
  <si>
    <t>КСК,КП 4-8</t>
  </si>
  <si>
    <t>НГ БО099102-01-30М</t>
  </si>
  <si>
    <t>КСК,КП 4-9</t>
  </si>
  <si>
    <t>ВГ БО099103-01-15М</t>
  </si>
  <si>
    <t>КСК,КП 4-10</t>
  </si>
  <si>
    <t>НД БО099104-01-18М</t>
  </si>
  <si>
    <t>КСК,КП 4-11</t>
  </si>
  <si>
    <t>ВД БО099105-01-09М</t>
  </si>
  <si>
    <t>КСК,КП 4-12</t>
  </si>
  <si>
    <t>13-18М</t>
  </si>
  <si>
    <t>Тел.(4872) 70-05-47, 37-69-86, 8 910-705-55-87</t>
  </si>
  <si>
    <t xml:space="preserve">Тел. (4872) 70-05-46, 70-05-47, 37-69-86, 49-38-62              </t>
  </si>
  <si>
    <t>Тел/факс. (4872) 37-69-86, 70-05-46, 37-69-85, 37-69-91, 70-05-47</t>
  </si>
  <si>
    <t xml:space="preserve">300024, г. Тула, Иншинский проезд, 26     </t>
  </si>
  <si>
    <t>ВЕНТИЛЯТОРЫ</t>
  </si>
  <si>
    <t>ТИП</t>
  </si>
  <si>
    <t>Э/Дв.,кВт</t>
  </si>
  <si>
    <t xml:space="preserve">ЦЕНА </t>
  </si>
  <si>
    <t>Э/Дв. ,кВт</t>
  </si>
  <si>
    <t>ЦЕНА</t>
  </si>
  <si>
    <t>ВО-06-300</t>
  </si>
  <si>
    <t>ВР 12-26</t>
  </si>
  <si>
    <t xml:space="preserve">  №  4</t>
  </si>
  <si>
    <t>№ 2,5</t>
  </si>
  <si>
    <t xml:space="preserve">  №  5</t>
  </si>
  <si>
    <t>№ 3,15</t>
  </si>
  <si>
    <t xml:space="preserve">  №  6,3</t>
  </si>
  <si>
    <t>№ 4</t>
  </si>
  <si>
    <t xml:space="preserve">  №  8</t>
  </si>
  <si>
    <t>№ 5</t>
  </si>
  <si>
    <t xml:space="preserve">  № 10</t>
  </si>
  <si>
    <t>ВЦ 4-70</t>
  </si>
  <si>
    <t>ВР 86-73</t>
  </si>
  <si>
    <t xml:space="preserve">  №  2,5</t>
  </si>
  <si>
    <t>№2,5</t>
  </si>
  <si>
    <t xml:space="preserve">  №  3,15</t>
  </si>
  <si>
    <t>№3,15</t>
  </si>
  <si>
    <t>№4</t>
  </si>
  <si>
    <t>№5</t>
  </si>
  <si>
    <t>№6,3</t>
  </si>
  <si>
    <t>№8</t>
  </si>
  <si>
    <t>ВЦ 14-46</t>
  </si>
  <si>
    <r>
      <t xml:space="preserve">НОВИНКА!!!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 Насосы нового покол</t>
    </r>
    <r>
      <rPr>
        <b/>
        <sz val="14"/>
        <rFont val="Comic Sans MS"/>
        <family val="4"/>
      </rPr>
      <t>ения 2 ЭЦВ с применением герметичного глицеринозаполненного электродвигателя</t>
    </r>
  </si>
  <si>
    <t>Цены на насосы ЭЦВ с НДС от  01.07.2013 г</t>
  </si>
  <si>
    <t>ЭЦВ 4-2,5-80арм</t>
  </si>
  <si>
    <t>ЭЦВ 5-6,5-80 арм</t>
  </si>
  <si>
    <t>ЭЦВ 5-6,5-120 арм</t>
  </si>
  <si>
    <t>ЭЦВ 6-6,5-60 арм</t>
  </si>
  <si>
    <t>ЭЦВ 6-6,5-85 арм</t>
  </si>
  <si>
    <t>ЭЦВ 6-6,5-105 арм</t>
  </si>
  <si>
    <t>ЭЦВ 6-6,5-140 арм</t>
  </si>
  <si>
    <t>ЭЦВ 6-6,5-160 арм</t>
  </si>
  <si>
    <t>ЭЦВ 6-10-50 арм</t>
  </si>
  <si>
    <t>ЭЦВ 6-10-80 арм</t>
  </si>
  <si>
    <t>ЭЦВ 6-10-110 арм</t>
  </si>
  <si>
    <t>ЭЦВ 6-10-140 арм</t>
  </si>
  <si>
    <t>ЭЦВ 6-10-160 арм</t>
  </si>
  <si>
    <t>ЭЦВ 6-6,5-120 арм</t>
  </si>
  <si>
    <t>ЭЦВ 6-10-180 арм</t>
  </si>
  <si>
    <t>ЭЦВ 6-10-230 арм</t>
  </si>
  <si>
    <t>ЭЦВ 6-16-75 арм</t>
  </si>
  <si>
    <t>ЭЦВ 6-16-90 арм</t>
  </si>
  <si>
    <t>ЭЦВ 6-16-110 арм</t>
  </si>
  <si>
    <t>ЭЦВ 6-16-140 арм</t>
  </si>
  <si>
    <t>ЭЦВ 6-16-160 арм</t>
  </si>
  <si>
    <t>ЭЦВ 8-16-100noryl</t>
  </si>
  <si>
    <t>№ 6,3</t>
  </si>
  <si>
    <t>ВКР</t>
  </si>
  <si>
    <t>ВВД</t>
  </si>
  <si>
    <t>ДЫМОСОСЫ</t>
  </si>
  <si>
    <t xml:space="preserve">ВД-2,5 </t>
  </si>
  <si>
    <t xml:space="preserve">ВДН-13 </t>
  </si>
  <si>
    <t>б/дв.</t>
  </si>
  <si>
    <t>ВМ-12</t>
  </si>
  <si>
    <t>ВД-2,7</t>
  </si>
  <si>
    <t>ВД-3,5 ; ДН-3,5</t>
  </si>
  <si>
    <t>ВДН-6,3 ; ДН-6,3</t>
  </si>
  <si>
    <t>FEKA VS 750M-A</t>
  </si>
  <si>
    <t>FEKA VX 1000 M-A</t>
  </si>
  <si>
    <t>NKP 32-160/163/4/2</t>
  </si>
  <si>
    <t>NKP 32-125,1/115/1,1/2</t>
  </si>
  <si>
    <t>NKP 32-200/210/7,5/2</t>
  </si>
  <si>
    <t>NKP 40-160/172/7,5/2</t>
  </si>
  <si>
    <t>NKP 40-200/210/11/2</t>
  </si>
  <si>
    <t>NKP 90-160/169/11/2</t>
  </si>
  <si>
    <t>NKP 50-200/210/18,5/2</t>
  </si>
  <si>
    <t>ВДН-8 ;  ДН-8</t>
  </si>
  <si>
    <t>ВДН-9 ;  ДН-9</t>
  </si>
  <si>
    <t>ВДН-10 ; ДН-10</t>
  </si>
  <si>
    <t>11х1000</t>
  </si>
  <si>
    <t>30х1500</t>
  </si>
  <si>
    <t>ВДН-11,2 ; ДН-11,2</t>
  </si>
  <si>
    <t>ВДН-12,5 ; ДН – 12,5</t>
  </si>
  <si>
    <t>30х1000</t>
  </si>
  <si>
    <t>45х1500</t>
  </si>
  <si>
    <t>55х1500</t>
  </si>
  <si>
    <t>75х1500</t>
  </si>
  <si>
    <t>МАРКА</t>
  </si>
  <si>
    <t>m</t>
  </si>
  <si>
    <t>PTG 209</t>
  </si>
  <si>
    <t>PTD 306</t>
  </si>
  <si>
    <t>PTD 406</t>
  </si>
  <si>
    <t>PTG 208 ST</t>
  </si>
  <si>
    <t>PTG 305 T</t>
  </si>
  <si>
    <t>PTG 208 T</t>
  </si>
  <si>
    <t>PTG 405 T</t>
  </si>
  <si>
    <t>PTD 206 T</t>
  </si>
  <si>
    <t>БЕНЗИН</t>
  </si>
  <si>
    <t>ДИЗЕЛЬ</t>
  </si>
  <si>
    <t xml:space="preserve"> НМШ 32-10</t>
  </si>
  <si>
    <t>Масса кг.</t>
  </si>
  <si>
    <t>Самовсас</t>
  </si>
  <si>
    <t>Топливо</t>
  </si>
  <si>
    <t>Факс/тел.: (4872) 70-05-47, 37-69-91, 37-69-86, 70-05-46</t>
  </si>
  <si>
    <t>37-69-85,  49-38-62</t>
  </si>
  <si>
    <t>Предназначены для перекачивания чистых или слегка загрязненных жидкостей с температурой до + 140</t>
  </si>
  <si>
    <t xml:space="preserve"> Тип эл.  двигателя </t>
  </si>
  <si>
    <t xml:space="preserve">300024, г. Тула, п. Лихвинка, Иншинский проезд, д. 26   </t>
  </si>
  <si>
    <t>30*1500</t>
  </si>
  <si>
    <t>11*1500</t>
  </si>
  <si>
    <t>22*1500</t>
  </si>
  <si>
    <t>15*1500</t>
  </si>
  <si>
    <t>UPS 65-60/2F</t>
  </si>
  <si>
    <t>P 80/250r</t>
  </si>
  <si>
    <t>UPS 80-60F</t>
  </si>
  <si>
    <t>P 100/160r</t>
  </si>
  <si>
    <t>UPS 80-120F</t>
  </si>
  <si>
    <t>P 100/200r</t>
  </si>
  <si>
    <t xml:space="preserve"> ПБ 250/28</t>
  </si>
  <si>
    <t xml:space="preserve"> ПК 63/22,5</t>
  </si>
  <si>
    <t xml:space="preserve"> ПБ 160/40</t>
  </si>
  <si>
    <t>Гном 25*20Т</t>
  </si>
  <si>
    <t>Гном 40*25Т</t>
  </si>
  <si>
    <t>ГРУНТОВЫЕ НАСОСЫ</t>
  </si>
  <si>
    <t>ПАРОВЫЕ, ПОРШНЕВЫЕ НАСОСЫ</t>
  </si>
  <si>
    <t>ГРАР 100/31,5</t>
  </si>
  <si>
    <t>ГРАР 250/28</t>
  </si>
  <si>
    <t>UPS 100-30F</t>
  </si>
  <si>
    <t>VA 35/180X</t>
  </si>
  <si>
    <t>VA 65/130</t>
  </si>
  <si>
    <t>A 56/180XM</t>
  </si>
  <si>
    <t>A 80/180XM</t>
  </si>
  <si>
    <t xml:space="preserve"> фекалии и длинноволокнистые включения без опасности засорения рабочего колеса и отводящего трубопровода</t>
  </si>
  <si>
    <t>СЭ 800-100</t>
  </si>
  <si>
    <t>Насосная часть (руб)</t>
  </si>
  <si>
    <r>
      <t xml:space="preserve">Зап.части к насосам:  </t>
    </r>
    <r>
      <rPr>
        <sz val="10"/>
        <rFont val="Arial"/>
        <family val="2"/>
      </rPr>
      <t>ЭЦВ, К, Д, СМ, СД, ВК, НМШ, ВВН, КС, СЭ, ЦН и др.</t>
    </r>
  </si>
  <si>
    <r>
      <t>0,75м</t>
    </r>
    <r>
      <rPr>
        <vertAlign val="superscript"/>
        <sz val="9.5"/>
        <rFont val="Arial"/>
        <family val="2"/>
      </rPr>
      <t>З</t>
    </r>
    <r>
      <rPr>
        <sz val="9.5"/>
        <rFont val="Arial"/>
        <family val="2"/>
      </rPr>
      <t>/м</t>
    </r>
  </si>
  <si>
    <r>
      <t>1,57м</t>
    </r>
    <r>
      <rPr>
        <vertAlign val="superscript"/>
        <sz val="9.5"/>
        <rFont val="Arial"/>
        <family val="2"/>
      </rPr>
      <t>З</t>
    </r>
    <r>
      <rPr>
        <sz val="9.5"/>
        <rFont val="Arial"/>
        <family val="2"/>
      </rPr>
      <t>/м</t>
    </r>
  </si>
  <si>
    <r>
      <t>3,33м</t>
    </r>
    <r>
      <rPr>
        <vertAlign val="superscript"/>
        <sz val="9.5"/>
        <rFont val="Arial"/>
        <family val="2"/>
      </rPr>
      <t>3</t>
    </r>
    <r>
      <rPr>
        <sz val="9.5"/>
        <rFont val="Arial"/>
        <family val="2"/>
      </rPr>
      <t>/м</t>
    </r>
  </si>
  <si>
    <r>
      <t>6,2м</t>
    </r>
    <r>
      <rPr>
        <vertAlign val="superscript"/>
        <sz val="9.5"/>
        <rFont val="Arial"/>
        <family val="2"/>
      </rPr>
      <t>3</t>
    </r>
    <r>
      <rPr>
        <sz val="9.5"/>
        <rFont val="Arial"/>
        <family val="2"/>
      </rPr>
      <t>/м</t>
    </r>
  </si>
  <si>
    <r>
      <t>12,2м</t>
    </r>
    <r>
      <rPr>
        <vertAlign val="superscript"/>
        <sz val="9.5"/>
        <rFont val="Arial"/>
        <family val="2"/>
      </rPr>
      <t>3</t>
    </r>
    <r>
      <rPr>
        <sz val="9.5"/>
        <rFont val="Arial"/>
        <family val="2"/>
      </rPr>
      <t>/м</t>
    </r>
  </si>
  <si>
    <r>
      <t>25м</t>
    </r>
    <r>
      <rPr>
        <vertAlign val="superscript"/>
        <sz val="9.5"/>
        <rFont val="Arial"/>
        <family val="2"/>
      </rPr>
      <t>3</t>
    </r>
    <r>
      <rPr>
        <sz val="9.5"/>
        <rFont val="Arial"/>
        <family val="2"/>
      </rPr>
      <t>/м</t>
    </r>
  </si>
  <si>
    <r>
      <t>50м</t>
    </r>
    <r>
      <rPr>
        <vertAlign val="superscript"/>
        <sz val="9.5"/>
        <rFont val="Arial"/>
        <family val="2"/>
      </rPr>
      <t>3</t>
    </r>
    <r>
      <rPr>
        <sz val="9.5"/>
        <rFont val="Arial"/>
        <family val="2"/>
      </rPr>
      <t>/м</t>
    </r>
  </si>
  <si>
    <r>
      <t>м</t>
    </r>
    <r>
      <rPr>
        <b/>
        <vertAlign val="superscript"/>
        <sz val="9"/>
        <rFont val="Arial"/>
        <family val="2"/>
      </rPr>
      <t>З</t>
    </r>
    <r>
      <rPr>
        <b/>
        <sz val="9"/>
        <rFont val="Arial"/>
        <family val="2"/>
      </rPr>
      <t>/ч</t>
    </r>
  </si>
  <si>
    <r>
      <t>WILO (ГЕРМАНИЯ)</t>
    </r>
    <r>
      <rPr>
        <sz val="9"/>
        <rFont val="Arial"/>
        <family val="2"/>
      </rPr>
      <t xml:space="preserve"> ГОРИЗОНТАЛЬНЫЕ</t>
    </r>
  </si>
  <si>
    <r>
      <t xml:space="preserve">ЦНСг (РОССИЯ)   </t>
    </r>
    <r>
      <rPr>
        <sz val="9"/>
        <rFont val="Arial"/>
        <family val="2"/>
      </rPr>
      <t>ВЕРТИКАЛЬНЫЕ</t>
    </r>
  </si>
  <si>
    <r>
      <t>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/ч</t>
    </r>
  </si>
  <si>
    <t xml:space="preserve">Имеет режущий механизм из высокопрочной стали, благодаря которому насосы работают со сточными водами, содержащими </t>
  </si>
  <si>
    <t>WILO (Германия)</t>
  </si>
  <si>
    <t>GRUNDFOS (Дания)</t>
  </si>
  <si>
    <t>Hidrojet JP5</t>
  </si>
  <si>
    <t>Hidrojet JP6</t>
  </si>
  <si>
    <t>DAB (Италия)</t>
  </si>
  <si>
    <t xml:space="preserve"> CALPEDA (Италия)</t>
  </si>
  <si>
    <t>AQUAJET 102</t>
  </si>
  <si>
    <t>NGCM 61E/1</t>
  </si>
  <si>
    <t>AQUAJET 82</t>
  </si>
  <si>
    <t>NGM 4N/24</t>
  </si>
  <si>
    <t>САМОВСАСЫВАЮЩИЕ НАСОСНЫЕ УСТАНОВКИ</t>
  </si>
  <si>
    <t>VEA 35/130</t>
  </si>
  <si>
    <t>VEA 55/130</t>
  </si>
  <si>
    <t>VEA 65/130</t>
  </si>
  <si>
    <t>UPSD 40-60/2F</t>
  </si>
  <si>
    <t>DPH 60/250.40M</t>
  </si>
  <si>
    <t>ГОРИЗОНТАЛЬНЫЕ ЦЕНТРОБЕЖНЫЕ  НАСОСЫ</t>
  </si>
  <si>
    <t>CALPEDA (Италия) НАСОСЫ МОНОБЛОЧНЫЕ - Типа КМ</t>
  </si>
  <si>
    <t>DPH 120/250.40M</t>
  </si>
  <si>
    <t>UPSD 50-120/F</t>
  </si>
  <si>
    <t>DPH 60/280.50T</t>
  </si>
  <si>
    <t>UPSD 65-120/F</t>
  </si>
  <si>
    <t>DPH 60/340.65T</t>
  </si>
  <si>
    <t>ТР 50-60/2</t>
  </si>
  <si>
    <t>ТР 65-60/2</t>
  </si>
  <si>
    <t>ТР 50-180/2</t>
  </si>
  <si>
    <t>ТР 65-180/2</t>
  </si>
  <si>
    <t>ТР 65-190/2</t>
  </si>
  <si>
    <t>ТР 50-190/2</t>
  </si>
  <si>
    <t>ТР 50-240/2</t>
  </si>
  <si>
    <t>ТР 65-260/2</t>
  </si>
  <si>
    <t>ТР 50-290/2</t>
  </si>
  <si>
    <t>ТР 65-340/2</t>
  </si>
  <si>
    <t>ТР 50-360/2</t>
  </si>
  <si>
    <t>ТР 65-460/2</t>
  </si>
  <si>
    <t>ТР 50-440/2</t>
  </si>
  <si>
    <t>ТР 65-550/2</t>
  </si>
  <si>
    <t>ТР 50-570/2</t>
  </si>
  <si>
    <t>ТР 65-660/2</t>
  </si>
  <si>
    <t>Для перекачивания чистой воды с температурой до +60С</t>
  </si>
  <si>
    <t>2,5</t>
  </si>
  <si>
    <t>25</t>
  </si>
  <si>
    <t>0,55</t>
  </si>
  <si>
    <t>36</t>
  </si>
  <si>
    <t>42</t>
  </si>
  <si>
    <t>54</t>
  </si>
  <si>
    <t>27</t>
  </si>
  <si>
    <t>37</t>
  </si>
  <si>
    <t>48</t>
  </si>
  <si>
    <t>1,1</t>
  </si>
  <si>
    <t>58</t>
  </si>
  <si>
    <t>1,5</t>
  </si>
  <si>
    <t>6</t>
  </si>
  <si>
    <t>20</t>
  </si>
  <si>
    <t>31</t>
  </si>
  <si>
    <t>52</t>
  </si>
  <si>
    <t>1,85</t>
  </si>
  <si>
    <t>Для перекачивания чистой воды с температурой до +110С</t>
  </si>
  <si>
    <t>Гном 6*10 (220в)</t>
  </si>
  <si>
    <t>ЭЦВ 10-120-80нро</t>
  </si>
  <si>
    <t>ЭЦВ 10-120-100нро</t>
  </si>
  <si>
    <t>01.10.2012г.</t>
  </si>
  <si>
    <t>01.07.2012 г.</t>
  </si>
  <si>
    <t>Цены на . Двиг. от  01.01.2013 с НДС</t>
  </si>
  <si>
    <t>RVL 3кВт</t>
  </si>
  <si>
    <t>RVL 4кВт</t>
  </si>
  <si>
    <t>_0009</t>
  </si>
  <si>
    <t>RVL 5,5кВт</t>
  </si>
  <si>
    <t>RVL 7,5кВт</t>
  </si>
  <si>
    <t>_0016</t>
  </si>
  <si>
    <t>_0012</t>
  </si>
  <si>
    <t>_0007</t>
  </si>
  <si>
    <t>RVL 11кВт</t>
  </si>
  <si>
    <t>_0023</t>
  </si>
  <si>
    <t>RVL 15кВт</t>
  </si>
  <si>
    <t>_0031</t>
  </si>
  <si>
    <t>RVL 18,5кВт</t>
  </si>
  <si>
    <t>_0038</t>
  </si>
  <si>
    <t>RVL 22кВт</t>
  </si>
  <si>
    <t>_0046</t>
  </si>
  <si>
    <t>RVL 30кВт</t>
  </si>
  <si>
    <t>_0061</t>
  </si>
  <si>
    <t>Тип (ЧРП)</t>
  </si>
  <si>
    <t xml:space="preserve">Мощьность </t>
  </si>
  <si>
    <t>RVS 37кВт</t>
  </si>
  <si>
    <t>_0072</t>
  </si>
  <si>
    <t>RVS 45кВт</t>
  </si>
  <si>
    <t>_0087</t>
  </si>
  <si>
    <t>RVS 55кВт</t>
  </si>
  <si>
    <t>_0105</t>
  </si>
  <si>
    <t>RVS 75кВт</t>
  </si>
  <si>
    <t>_0140</t>
  </si>
  <si>
    <t>RVS 90кВт</t>
  </si>
  <si>
    <t>_0168</t>
  </si>
  <si>
    <t>RVS 110кВт</t>
  </si>
  <si>
    <t>_0205</t>
  </si>
  <si>
    <t>RVS 132кВт</t>
  </si>
  <si>
    <t>_0300</t>
  </si>
  <si>
    <t xml:space="preserve">RVS 160кВт </t>
  </si>
  <si>
    <t>_0261</t>
  </si>
  <si>
    <r>
      <t xml:space="preserve">RVS 200кВт </t>
    </r>
    <r>
      <rPr>
        <sz val="9"/>
        <color indexed="8"/>
        <rFont val="Arial"/>
        <family val="2"/>
      </rPr>
      <t>(напольн)</t>
    </r>
  </si>
  <si>
    <t>_0385</t>
  </si>
  <si>
    <t>ПРЕОБРАЗОВАТЕЛИ                             ЧАСТОТЫ (ЧРП)</t>
  </si>
  <si>
    <t>ЭЦВ 10-120-140нро</t>
  </si>
  <si>
    <t>Торцевое уплотненеие, частота вращения 3000 об/мин</t>
  </si>
  <si>
    <t>Крышка подшип. муфты</t>
  </si>
  <si>
    <t xml:space="preserve">Крышка подшип. пяты </t>
  </si>
  <si>
    <t>Втулка защ.</t>
  </si>
  <si>
    <t>Стакан подш.</t>
  </si>
  <si>
    <t>Втулка напр.</t>
  </si>
  <si>
    <t>Кольцо уплот</t>
  </si>
  <si>
    <t>НАСОСЫ ДЛЯ БЕНЗИНА И СПИРТА</t>
  </si>
  <si>
    <t>ФГ 81/31</t>
  </si>
  <si>
    <t>ФГ 144/46</t>
  </si>
  <si>
    <t>ФГ 216/24</t>
  </si>
  <si>
    <t>ФГ 450/22,5</t>
  </si>
  <si>
    <t>ФГ 800-33</t>
  </si>
  <si>
    <t>ФНГ 800/33</t>
  </si>
  <si>
    <t>Вал</t>
  </si>
  <si>
    <t>Крышка корпуса</t>
  </si>
  <si>
    <t>Для перекачивания чистой воды с температурой до +140С</t>
  </si>
  <si>
    <t>Для перекачивания грязных и сточных фекальных вод с температурой до +40С</t>
  </si>
  <si>
    <t>Подача, м3/ч</t>
  </si>
  <si>
    <t>TMW 32/8</t>
  </si>
  <si>
    <t>TMW 32/11</t>
  </si>
  <si>
    <t>TC 40/10</t>
  </si>
  <si>
    <t>TS 40H 100/7,5</t>
  </si>
  <si>
    <t>NOVA 180M-A</t>
  </si>
  <si>
    <t>NOVA 300M-A</t>
  </si>
  <si>
    <t>Для дренажа ванн, канав и др. емкостей с загрязненной водой и глубиной всасывания 6 м.</t>
  </si>
  <si>
    <t>AM 50-125AE</t>
  </si>
  <si>
    <t>AP/97-A</t>
  </si>
  <si>
    <t>A 65-150 АE</t>
  </si>
  <si>
    <t xml:space="preserve">АИР 80 В4 </t>
  </si>
  <si>
    <t xml:space="preserve">АИР 80 В2  </t>
  </si>
  <si>
    <t>АИР 100 L4</t>
  </si>
  <si>
    <t xml:space="preserve">ЭЦВ 6-16-190 </t>
  </si>
  <si>
    <t xml:space="preserve">ЭЦВ 6-25-100 </t>
  </si>
  <si>
    <t xml:space="preserve">ЭЦВ 6-25-120 </t>
  </si>
  <si>
    <t xml:space="preserve"> СМ 125-100-250-4</t>
  </si>
  <si>
    <t xml:space="preserve"> СМ 125-100-250а-4</t>
  </si>
  <si>
    <t>МОТОПОМПЫ   с двигат. HONDA, ROBIN, SUBARU       01.01.2011</t>
  </si>
  <si>
    <t xml:space="preserve"> СМ 125-100-250б-4</t>
  </si>
  <si>
    <t>TPE 50-180/2</t>
  </si>
  <si>
    <t>TPE 50-240/2</t>
  </si>
  <si>
    <t>TPE 50-290/2</t>
  </si>
  <si>
    <t>TPD 100-200/2</t>
  </si>
  <si>
    <t>TPD 100-240/2</t>
  </si>
  <si>
    <t>TPD 100-310/2</t>
  </si>
  <si>
    <t>IL 200/320-45/4</t>
  </si>
  <si>
    <t>АН2/12 (ЦНСг 2/120-5)</t>
  </si>
  <si>
    <t>АН2/16 (ЦНСг 2/160-5)</t>
  </si>
  <si>
    <t>К 35/1200Т</t>
  </si>
  <si>
    <t>К 14/400Т</t>
  </si>
  <si>
    <t>К 18/500Т</t>
  </si>
  <si>
    <t>К 36/200Т</t>
  </si>
  <si>
    <t>К 40/200Т</t>
  </si>
  <si>
    <t>К 40/400Т</t>
  </si>
  <si>
    <t>К 55/200Т</t>
  </si>
  <si>
    <t>К 28/500Т</t>
  </si>
  <si>
    <t>К 50/400Т</t>
  </si>
  <si>
    <t>К 40/800Т</t>
  </si>
  <si>
    <t>К 50/800Т</t>
  </si>
  <si>
    <t>К 20/1200Т</t>
  </si>
  <si>
    <t>К 25/1200Т</t>
  </si>
  <si>
    <t>Мощн.,Кв</t>
  </si>
  <si>
    <t>Мощн., Кв</t>
  </si>
  <si>
    <t>Кв,об/мин</t>
  </si>
  <si>
    <t>1,8</t>
  </si>
  <si>
    <t>4</t>
  </si>
  <si>
    <t>2,2-1,5</t>
  </si>
  <si>
    <t>5,5-4,0</t>
  </si>
  <si>
    <t>НД 1,0-630/16К14А</t>
  </si>
  <si>
    <t xml:space="preserve">Подача, м3/ч </t>
  </si>
  <si>
    <t>Напор, м</t>
  </si>
  <si>
    <t>ВЦП 7-40 (ВРП 122-45)</t>
  </si>
  <si>
    <t>ВЦП 6-45 ВЦП (122-45)</t>
  </si>
  <si>
    <t>Мощн., кВт</t>
  </si>
  <si>
    <t xml:space="preserve"> ФНГ 800/33 А</t>
  </si>
  <si>
    <t>Цена, руб</t>
  </si>
  <si>
    <t>Бурун Н1В 2,5/2  220в</t>
  </si>
  <si>
    <t>ГНОМ 10-10 (220В)</t>
  </si>
  <si>
    <t>Гном 10*10/(Тр) 380в</t>
  </si>
  <si>
    <t>Гном 25*20/(Тр) 380в</t>
  </si>
  <si>
    <t>Гном 40*25/(Тр) 380в</t>
  </si>
  <si>
    <t xml:space="preserve"> Гном 53*10/(Тр) 380в</t>
  </si>
  <si>
    <t>ГНОМ 16-16 (220В)</t>
  </si>
  <si>
    <t>Гном 16-16/(Тр) 380в</t>
  </si>
  <si>
    <t xml:space="preserve"> СМ 150-125-315А-4</t>
  </si>
  <si>
    <t xml:space="preserve"> СМ 150-125-315Б-4</t>
  </si>
  <si>
    <t xml:space="preserve"> СМс 150-125-315-4</t>
  </si>
  <si>
    <t xml:space="preserve"> СМ 150-125-315-6</t>
  </si>
  <si>
    <t xml:space="preserve"> СМ 150-125-400-4</t>
  </si>
  <si>
    <t xml:space="preserve"> СМ 200-150-400-4</t>
  </si>
  <si>
    <t xml:space="preserve"> СМ 200-150-400А-4</t>
  </si>
  <si>
    <t xml:space="preserve"> СМ 200-150-400Б-4</t>
  </si>
  <si>
    <t xml:space="preserve"> СМ 200-150-400-6</t>
  </si>
  <si>
    <t xml:space="preserve"> СМ 200-150-400-6 А</t>
  </si>
  <si>
    <t xml:space="preserve"> СМ 200-150-500-4</t>
  </si>
  <si>
    <t xml:space="preserve"> СМ 200-150-500А-4</t>
  </si>
  <si>
    <t xml:space="preserve"> СМ 200-150-500Б-4</t>
  </si>
  <si>
    <t xml:space="preserve"> СМ 250-200-400-4</t>
  </si>
  <si>
    <t xml:space="preserve"> СМ 250-200-400А-4</t>
  </si>
  <si>
    <t xml:space="preserve"> СМ 250-200-400Б-4</t>
  </si>
  <si>
    <t xml:space="preserve"> СМ 250-200-400-6</t>
  </si>
  <si>
    <t xml:space="preserve"> СМ 100-65-250б</t>
  </si>
  <si>
    <t xml:space="preserve"> СМ 100-65-250а</t>
  </si>
  <si>
    <t xml:space="preserve"> СМ 80-50-200б</t>
  </si>
  <si>
    <t>ЦЕНТРОБЕЖНЫЕ МОНОБЛОЧНЫЕ НАСОСЫ ОБЩЕГО НАЗНАЧЕНИЯ (ТИПА КМ)</t>
  </si>
  <si>
    <t>ДРЕНАЖНЫЕ ПОГРУЖНЫЕ НАСОСЫ</t>
  </si>
  <si>
    <t>КОНСОЛЬНЫЕ НАСОСЫ ДЛЯ ОТОПЛЕНИЯ И ВОДОСНАБЖЕНИЯ (ТИПА К)</t>
  </si>
  <si>
    <t>ФЕКАЛЬНЫЕ НАСОСЫ С РЕЖУЩИМ МЕХАНИЗМОМ</t>
  </si>
  <si>
    <t>HWJ 20L 202 EM</t>
  </si>
  <si>
    <t>TS 50H 122/15</t>
  </si>
  <si>
    <t>FEKA 2500 2T.D</t>
  </si>
  <si>
    <t>FEKA 3500 2T.D</t>
  </si>
  <si>
    <t>HWJ 20L 203 EM</t>
  </si>
  <si>
    <t xml:space="preserve">MVI 410, 380 В, PN16(PN25) </t>
  </si>
  <si>
    <t>дог</t>
  </si>
  <si>
    <t>ПОГРУЖНЫЕ НАСОСЫ EMU ГЕРМАНИЯ. (Для чистой воды и сточных и фекальных жидкостей)</t>
  </si>
  <si>
    <t xml:space="preserve">Для автоматической подачи воды из скважин, колодев и др. емкостей с высотой всасывания до 8 м.  Установка состоит из </t>
  </si>
  <si>
    <t>самовсасывающего насоса, мембранного бака, манометра, датчика давления для автоматического режима работы.</t>
  </si>
  <si>
    <t>осн.исп.: фланцевое 3081, комбинированное 2081</t>
  </si>
  <si>
    <t>NL 32/160-3,0/2</t>
  </si>
  <si>
    <t>NL 32/200-7,5/2</t>
  </si>
  <si>
    <t>NL 50/160-7,5/2</t>
  </si>
  <si>
    <t>NL 50/200-18,5/2</t>
  </si>
  <si>
    <t>NL 65/160-11/2</t>
  </si>
  <si>
    <t>NL 65/200-22/2</t>
  </si>
  <si>
    <t>SP 8A-30</t>
  </si>
  <si>
    <t>MAGNA 32-120F</t>
  </si>
  <si>
    <t>MAGNA 40-120F</t>
  </si>
  <si>
    <t>MAGNA 50-60F</t>
  </si>
  <si>
    <t>MAGNA 65-60F</t>
  </si>
  <si>
    <t>BPH-120/280.50T</t>
  </si>
  <si>
    <t>BPH-180/280.50T</t>
  </si>
  <si>
    <t>BMH-60/340.65T</t>
  </si>
  <si>
    <t>BPH-60/340.65T</t>
  </si>
  <si>
    <t>BPH-120/340.65T</t>
  </si>
  <si>
    <t>BMH-30/250.40T</t>
  </si>
  <si>
    <t>BPH-150/340.65T</t>
  </si>
  <si>
    <t>BPH-60/250.40 M</t>
  </si>
  <si>
    <t>BPH-180/340.65T</t>
  </si>
  <si>
    <t>BPH-60/250.40 T</t>
  </si>
  <si>
    <t>BPH-60/360.80T</t>
  </si>
  <si>
    <t>BMH-60/280.50M</t>
  </si>
  <si>
    <t>BPH-120/360.80T</t>
  </si>
  <si>
    <t>BMH-60/280.50T</t>
  </si>
  <si>
    <t>BPH-150/360.80T</t>
  </si>
  <si>
    <t>BPH-60/280.50T</t>
  </si>
  <si>
    <t>BPH-180/360.80T</t>
  </si>
  <si>
    <t>UPSD 40-120/F</t>
  </si>
  <si>
    <t>UPS 50-120/F</t>
  </si>
  <si>
    <t>UPS 65-120/F</t>
  </si>
  <si>
    <t>VEA 80/180XM</t>
  </si>
  <si>
    <t>VEB 100/250.40M</t>
  </si>
  <si>
    <t>VEB 110/450.100T</t>
  </si>
  <si>
    <t>DPL 40/160-0,37/4</t>
  </si>
  <si>
    <t>ЭЦВ 12-210-25нро</t>
  </si>
  <si>
    <t>ЭЦВ 12-210-55нро</t>
  </si>
  <si>
    <t xml:space="preserve"> ВВН 1-25</t>
  </si>
  <si>
    <t>ЦНСг  850-240</t>
  </si>
  <si>
    <t>132*1000</t>
  </si>
  <si>
    <t>630*750</t>
  </si>
  <si>
    <t>75*960</t>
  </si>
  <si>
    <t>55*960</t>
  </si>
  <si>
    <t>45*960</t>
  </si>
  <si>
    <t>160*960</t>
  </si>
  <si>
    <t>132*960</t>
  </si>
  <si>
    <t>НД 1,0-250/40К14А</t>
  </si>
  <si>
    <t>НД 1,0-400/25К14А</t>
  </si>
  <si>
    <t>ЭЦВ 12-250-105нро</t>
  </si>
  <si>
    <t>BL 65/160-11/2</t>
  </si>
  <si>
    <t>BL 32/150-0,37/4</t>
  </si>
  <si>
    <t>BL 40/150-0,55/4</t>
  </si>
  <si>
    <t>ЭЦВ 10-120-60нро/чл</t>
  </si>
  <si>
    <t>СЕТЕВЫЕ И ПИТАТЕЛЬНЫЕ НАСОСЫ (tо до 165¸180°С)</t>
  </si>
  <si>
    <t xml:space="preserve">АИР 90 L4 </t>
  </si>
  <si>
    <t>АИР 100 S4</t>
  </si>
  <si>
    <t>АИР-112М4 5АМ</t>
  </si>
  <si>
    <t xml:space="preserve">АИРМ-А132S6 </t>
  </si>
  <si>
    <t xml:space="preserve">АИРМ-А132S4 </t>
  </si>
  <si>
    <t xml:space="preserve">АИРМ-А132М6 </t>
  </si>
  <si>
    <t xml:space="preserve">АИРМ-А132М2  </t>
  </si>
  <si>
    <t xml:space="preserve">АИРМ-А132М4  </t>
  </si>
  <si>
    <t>5АИ 225М8</t>
  </si>
  <si>
    <t>t + 90°C</t>
  </si>
  <si>
    <t>ОФИЦИАЛЬНЫЙ ДИЛЕР НАСОСНОГО КОНЦЕРНА: Wilo (Германия), DAB (Италия).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</si>
</sst>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0;[Red]0.00"/>
    <numFmt numFmtId="167" formatCode="0;[Red]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_р_."/>
    <numFmt numFmtId="174" formatCode="#,##0&quot;р.&quot;"/>
    <numFmt numFmtId="175" formatCode="0.0000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_-* #,##0.000&quot;р.&quot;_-;\-* #,##0.000&quot;р.&quot;_-;_-* &quot;-&quot;??&quot;р.&quot;_-;_-@_-"/>
    <numFmt numFmtId="183" formatCode="_-* #,##0.0000&quot;р.&quot;_-;\-* #,##0.0000&quot;р.&quot;_-;_-* &quot;-&quot;??&quot;р.&quot;_-;_-@_-"/>
    <numFmt numFmtId="184" formatCode="_-* #,##0.00000&quot;р.&quot;_-;\-* #,##0.00000&quot;р.&quot;_-;_-* &quot;-&quot;??&quot;р.&quot;_-;_-@_-"/>
    <numFmt numFmtId="185" formatCode="_-* #,##0.000000&quot;р.&quot;_-;\-* #,##0.000000&quot;р.&quot;_-;_-* &quot;-&quot;??&quot;р.&quot;_-;_-@_-"/>
    <numFmt numFmtId="186" formatCode="_-* #,##0.0000000&quot;р.&quot;_-;\-* #,##0.0000000&quot;р.&quot;_-;_-* &quot;-&quot;??&quot;р.&quot;_-;_-@_-"/>
    <numFmt numFmtId="187" formatCode="_-* #,##0.00000000&quot;р.&quot;_-;\-* #,##0.00000000&quot;р.&quot;_-;_-* &quot;-&quot;??&quot;р.&quot;_-;_-@_-"/>
    <numFmt numFmtId="188" formatCode="_-* #,##0.000000000&quot;р.&quot;_-;\-* #,##0.000000000&quot;р.&quot;_-;_-* &quot;-&quot;??&quot;р.&quot;_-;_-@_-"/>
    <numFmt numFmtId="189" formatCode="_-* #,##0.0000000000&quot;р.&quot;_-;\-* #,##0.0000000000&quot;р.&quot;_-;_-* &quot;-&quot;??&quot;р.&quot;_-;_-@_-"/>
    <numFmt numFmtId="190" formatCode="_-* #,##0.00000000000&quot;р.&quot;_-;\-* #,##0.00000000000&quot;р.&quot;_-;_-* &quot;-&quot;??&quot;р.&quot;_-;_-@_-"/>
    <numFmt numFmtId="191" formatCode="_-* #,##0.000000000000&quot;р.&quot;_-;\-* #,##0.000000000000&quot;р.&quot;_-;_-* &quot;-&quot;??&quot;р.&quot;_-;_-@_-"/>
    <numFmt numFmtId="192" formatCode="_-* #,##0.0000000000000&quot;р.&quot;_-;\-* #,##0.0000000000000&quot;р.&quot;_-;_-* &quot;-&quot;??&quot;р.&quot;_-;_-@_-"/>
    <numFmt numFmtId="193" formatCode="_-* #,##0.00000000000000&quot;р.&quot;_-;\-* #,##0.00000000000000&quot;р.&quot;_-;_-* &quot;-&quot;??&quot;р.&quot;_-;_-@_-"/>
    <numFmt numFmtId="194" formatCode="_-* #,##0.000000000000000&quot;р.&quot;_-;\-* #,##0.000000000000000&quot;р.&quot;_-;_-* &quot;-&quot;??&quot;р.&quot;_-;_-@_-"/>
    <numFmt numFmtId="195" formatCode="_-* #,##0.0000000000000000&quot;р.&quot;_-;\-* #,##0.0000000000000000&quot;р.&quot;_-;_-* &quot;-&quot;??&quot;р.&quot;_-;_-@_-"/>
    <numFmt numFmtId="196" formatCode="_-* #,##0.0&quot;р.&quot;_-;\-* #,##0.0&quot;р.&quot;_-;_-* &quot;-&quot;??&quot;р.&quot;_-;_-@_-"/>
    <numFmt numFmtId="197" formatCode="_-* #,##0&quot;р.&quot;_-;\-* #,##0&quot;р.&quot;_-;_-* &quot;-&quot;??&quot;р.&quot;_-;_-@_-"/>
    <numFmt numFmtId="198" formatCode="[&lt;=9999999]###\-####;\(###\)\ ###\-####"/>
    <numFmt numFmtId="199" formatCode="0_ ;[Red]\-0\ "/>
    <numFmt numFmtId="200" formatCode="#,##0.00&quot;р.&quot;"/>
    <numFmt numFmtId="201" formatCode="000000"/>
    <numFmt numFmtId="202" formatCode="#,##0_р_.;[Red]#,##0_р_."/>
    <numFmt numFmtId="203" formatCode="#,##0.000"/>
    <numFmt numFmtId="204" formatCode="#,##0.0000"/>
    <numFmt numFmtId="205" formatCode="#,##0.0"/>
    <numFmt numFmtId="206" formatCode="[$-FC19]d\ mmmm\ yyyy\ &quot;г.&quot;"/>
  </numFmts>
  <fonts count="1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omic Sans MS"/>
      <family val="4"/>
    </font>
    <font>
      <sz val="9"/>
      <name val="Comic Sans MS"/>
      <family val="4"/>
    </font>
    <font>
      <i/>
      <sz val="8"/>
      <name val="Tahoma"/>
      <family val="2"/>
    </font>
    <font>
      <b/>
      <i/>
      <sz val="8"/>
      <name val="Tahoma"/>
      <family val="2"/>
    </font>
    <font>
      <sz val="14"/>
      <name val="Comic Sans MS"/>
      <family val="4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9"/>
      <name val="Arial"/>
      <family val="2"/>
    </font>
    <font>
      <sz val="9"/>
      <color indexed="8"/>
      <name val="Comic Sans MS"/>
      <family val="4"/>
    </font>
    <font>
      <b/>
      <sz val="11"/>
      <color indexed="8"/>
      <name val="Arial"/>
      <family val="2"/>
    </font>
    <font>
      <b/>
      <sz val="10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mic Sans MS"/>
      <family val="4"/>
    </font>
    <font>
      <sz val="11"/>
      <color indexed="8"/>
      <name val="Comic Sans MS"/>
      <family val="4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omic Sans MS"/>
      <family val="4"/>
    </font>
    <font>
      <b/>
      <i/>
      <sz val="9"/>
      <color indexed="8"/>
      <name val="Arial"/>
      <family val="2"/>
    </font>
    <font>
      <b/>
      <i/>
      <sz val="11"/>
      <color indexed="8"/>
      <name val="Comic Sans MS"/>
      <family val="4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 Cyr"/>
      <family val="2"/>
    </font>
    <font>
      <b/>
      <sz val="10.5"/>
      <color indexed="8"/>
      <name val="Arial"/>
      <family val="2"/>
    </font>
    <font>
      <b/>
      <sz val="11.5"/>
      <color indexed="8"/>
      <name val="Arial"/>
      <family val="2"/>
    </font>
    <font>
      <b/>
      <u val="single"/>
      <sz val="10.5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 Cyr"/>
      <family val="2"/>
    </font>
    <font>
      <sz val="11"/>
      <name val="Comic Sans MS"/>
      <family val="4"/>
    </font>
    <font>
      <sz val="11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0.5"/>
      <name val="Arial Cyr"/>
      <family val="2"/>
    </font>
    <font>
      <sz val="10.5"/>
      <name val="Arial"/>
      <family val="2"/>
    </font>
    <font>
      <b/>
      <sz val="14"/>
      <name val="Comic Sans MS"/>
      <family val="4"/>
    </font>
    <font>
      <b/>
      <sz val="11"/>
      <name val="Arial"/>
      <family val="2"/>
    </font>
    <font>
      <sz val="15"/>
      <name val="Verdana"/>
      <family val="2"/>
    </font>
    <font>
      <sz val="12"/>
      <name val="Comic Sans MS"/>
      <family val="4"/>
    </font>
    <font>
      <sz val="10"/>
      <name val="Comic Sans MS"/>
      <family val="4"/>
    </font>
    <font>
      <sz val="15"/>
      <name val="Arial"/>
      <family val="2"/>
    </font>
    <font>
      <sz val="13"/>
      <name val="Arial"/>
      <family val="2"/>
    </font>
    <font>
      <sz val="10"/>
      <name val="Cambria"/>
      <family val="1"/>
    </font>
    <font>
      <sz val="9.5"/>
      <name val="Arial"/>
      <family val="2"/>
    </font>
    <font>
      <vertAlign val="superscript"/>
      <sz val="9.5"/>
      <name val="Arial"/>
      <family val="2"/>
    </font>
    <font>
      <sz val="12"/>
      <name val="Arial"/>
      <family val="2"/>
    </font>
    <font>
      <b/>
      <i/>
      <sz val="12"/>
      <name val="Comic Sans MS"/>
      <family val="4"/>
    </font>
    <font>
      <b/>
      <sz val="12"/>
      <name val="Comic Sans MS"/>
      <family val="4"/>
    </font>
    <font>
      <sz val="9"/>
      <name val="Arial Cyr"/>
      <family val="2"/>
    </font>
    <font>
      <b/>
      <sz val="9"/>
      <name val="Comic Sans MS"/>
      <family val="4"/>
    </font>
    <font>
      <b/>
      <vertAlign val="superscript"/>
      <sz val="9"/>
      <name val="Arial"/>
      <family val="2"/>
    </font>
    <font>
      <b/>
      <sz val="9"/>
      <name val="Arial Cyr"/>
      <family val="2"/>
    </font>
    <font>
      <sz val="10"/>
      <name val="ФК"/>
      <family val="0"/>
    </font>
    <font>
      <sz val="9"/>
      <name val="ФК"/>
      <family val="0"/>
    </font>
    <font>
      <b/>
      <sz val="9"/>
      <name val="ФК"/>
      <family val="0"/>
    </font>
    <font>
      <i/>
      <sz val="12"/>
      <name val="Comic Sans MS"/>
      <family val="4"/>
    </font>
    <font>
      <b/>
      <sz val="10"/>
      <name val="Comic Sans MS"/>
      <family val="4"/>
    </font>
    <font>
      <b/>
      <sz val="9.5"/>
      <name val="Comic Sans MS"/>
      <family val="4"/>
    </font>
    <font>
      <b/>
      <i/>
      <sz val="10"/>
      <name val="Comic Sans MS"/>
      <family val="4"/>
    </font>
    <font>
      <sz val="14"/>
      <name val="Arial"/>
      <family val="2"/>
    </font>
    <font>
      <vertAlign val="superscript"/>
      <sz val="9"/>
      <name val="Arial"/>
      <family val="2"/>
    </font>
    <font>
      <b/>
      <sz val="13"/>
      <name val="Comic Sans MS"/>
      <family val="4"/>
    </font>
    <font>
      <b/>
      <i/>
      <sz val="14"/>
      <name val="Comic Sans MS"/>
      <family val="4"/>
    </font>
    <font>
      <sz val="7.5"/>
      <name val="Comic Sans MS"/>
      <family val="4"/>
    </font>
    <font>
      <b/>
      <sz val="10"/>
      <name val="Arial Cyr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1"/>
      <name val="Comic Sans MS"/>
      <family val="4"/>
    </font>
    <font>
      <b/>
      <i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6"/>
      <name val="CG Times"/>
      <family val="1"/>
    </font>
    <font>
      <b/>
      <sz val="14"/>
      <name val="CG Times"/>
      <family val="1"/>
    </font>
    <font>
      <sz val="14"/>
      <name val="CG Times"/>
      <family val="1"/>
    </font>
    <font>
      <b/>
      <sz val="10"/>
      <name val="CG Times"/>
      <family val="1"/>
    </font>
    <font>
      <b/>
      <sz val="13"/>
      <color indexed="10"/>
      <name val="CG Times"/>
      <family val="1"/>
    </font>
    <font>
      <b/>
      <u val="single"/>
      <sz val="18"/>
      <name val="CG Times"/>
      <family val="0"/>
    </font>
    <font>
      <u val="single"/>
      <sz val="18"/>
      <color indexed="12"/>
      <name val="CG Times"/>
      <family val="1"/>
    </font>
    <font>
      <u val="single"/>
      <sz val="10"/>
      <color indexed="12"/>
      <name val="CG Times"/>
      <family val="1"/>
    </font>
    <font>
      <b/>
      <sz val="16"/>
      <color indexed="10"/>
      <name val="CG Times"/>
      <family val="1"/>
    </font>
    <font>
      <b/>
      <i/>
      <u val="single"/>
      <sz val="20"/>
      <name val="CG Times"/>
      <family val="1"/>
    </font>
    <font>
      <b/>
      <i/>
      <u val="single"/>
      <sz val="16"/>
      <name val="CG Times"/>
      <family val="1"/>
    </font>
    <font>
      <b/>
      <sz val="14"/>
      <color indexed="10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4"/>
      <color indexed="12"/>
      <name val="Arial"/>
      <family val="2"/>
    </font>
    <font>
      <sz val="15"/>
      <name val="CG Times"/>
      <family val="1"/>
    </font>
    <font>
      <b/>
      <sz val="15"/>
      <color indexed="10"/>
      <name val="Arial"/>
      <family val="2"/>
    </font>
    <font>
      <b/>
      <sz val="15"/>
      <color indexed="8"/>
      <name val="Arial"/>
      <family val="2"/>
    </font>
    <font>
      <sz val="18"/>
      <name val="Arial"/>
      <family val="2"/>
    </font>
    <font>
      <b/>
      <i/>
      <sz val="26"/>
      <name val="CG Times"/>
      <family val="1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0"/>
      <name val="CG Times"/>
      <family val="1"/>
    </font>
    <font>
      <sz val="14"/>
      <color indexed="10"/>
      <name val="CG Times"/>
      <family val="1"/>
    </font>
    <font>
      <sz val="28"/>
      <name val="CG Times"/>
      <family val="1"/>
    </font>
    <font>
      <b/>
      <sz val="24"/>
      <name val="CG Times"/>
      <family val="1"/>
    </font>
    <font>
      <b/>
      <sz val="12"/>
      <name val="CG Times"/>
      <family val="1"/>
    </font>
    <font>
      <b/>
      <sz val="12"/>
      <name val="CG Omega"/>
      <family val="2"/>
    </font>
    <font>
      <b/>
      <sz val="14"/>
      <name val="CG Omega"/>
      <family val="2"/>
    </font>
    <font>
      <sz val="12"/>
      <name val="CG Times"/>
      <family val="1"/>
    </font>
    <font>
      <sz val="13"/>
      <name val="CG Times"/>
      <family val="1"/>
    </font>
    <font>
      <b/>
      <u val="single"/>
      <sz val="14"/>
      <color indexed="12"/>
      <name val="CG Times"/>
      <family val="0"/>
    </font>
    <font>
      <b/>
      <i/>
      <sz val="18"/>
      <name val="CG Times"/>
      <family val="1"/>
    </font>
    <font>
      <b/>
      <i/>
      <sz val="16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sz val="16"/>
      <name val="CG Times"/>
      <family val="1"/>
    </font>
    <font>
      <sz val="13"/>
      <name val="CG Omega"/>
      <family val="2"/>
    </font>
    <font>
      <u val="single"/>
      <sz val="16"/>
      <color indexed="12"/>
      <name val="Arial"/>
      <family val="2"/>
    </font>
    <font>
      <sz val="14.5"/>
      <name val="CG Times"/>
      <family val="1"/>
    </font>
    <font>
      <b/>
      <i/>
      <sz val="22"/>
      <name val="Arial"/>
      <family val="2"/>
    </font>
    <font>
      <b/>
      <i/>
      <sz val="18"/>
      <name val="Arial"/>
      <family val="2"/>
    </font>
    <font>
      <sz val="13"/>
      <color indexed="8"/>
      <name val="CG omega"/>
      <family val="0"/>
    </font>
    <font>
      <b/>
      <sz val="10"/>
      <name val="Times New Roman"/>
      <family val="1"/>
    </font>
    <font>
      <sz val="8"/>
      <name val="Arial Cyr"/>
      <family val="0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4"/>
      <color indexed="12"/>
      <name val="Arial"/>
      <family val="2"/>
    </font>
    <font>
      <b/>
      <i/>
      <sz val="20"/>
      <name val="Verdana"/>
      <family val="2"/>
    </font>
    <font>
      <b/>
      <i/>
      <sz val="22"/>
      <name val="Verdana"/>
      <family val="2"/>
    </font>
    <font>
      <b/>
      <i/>
      <sz val="20"/>
      <name val="Comic Sans MS"/>
      <family val="4"/>
    </font>
    <font>
      <b/>
      <sz val="18"/>
      <name val="Comic Sans MS"/>
      <family val="4"/>
    </font>
    <font>
      <sz val="16"/>
      <name val="Arial Cyr"/>
      <family val="2"/>
    </font>
    <font>
      <sz val="18"/>
      <name val="Comic Sans MS"/>
      <family val="4"/>
    </font>
    <font>
      <sz val="18"/>
      <name val="Arial Cyr"/>
      <family val="0"/>
    </font>
    <font>
      <sz val="16"/>
      <name val="Comic Sans MS"/>
      <family val="4"/>
    </font>
    <font>
      <sz val="12"/>
      <name val="Arial Cyr"/>
      <family val="2"/>
    </font>
    <font>
      <b/>
      <sz val="16"/>
      <name val="Comic Sans MS"/>
      <family val="4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9" borderId="0" applyNumberFormat="0" applyBorder="0" applyAlignment="0" applyProtection="0"/>
    <xf numFmtId="0" fontId="89" fillId="7" borderId="1" applyNumberFormat="0" applyAlignment="0" applyProtection="0"/>
    <xf numFmtId="0" fontId="90" fillId="20" borderId="2" applyNumberFormat="0" applyAlignment="0" applyProtection="0"/>
    <xf numFmtId="0" fontId="9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1" borderId="7" applyNumberFormat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9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4" borderId="0" applyNumberFormat="0" applyBorder="0" applyAlignment="0" applyProtection="0"/>
  </cellStyleXfs>
  <cellXfs count="238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3" fontId="4" fillId="0" borderId="0" xfId="0" applyNumberFormat="1" applyFont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173" fontId="8" fillId="0" borderId="0" xfId="0" applyNumberFormat="1" applyFont="1" applyBorder="1" applyAlignment="1" applyProtection="1">
      <alignment horizontal="center" vertical="center"/>
      <protection locked="0"/>
    </xf>
    <xf numFmtId="173" fontId="10" fillId="0" borderId="0" xfId="0" applyNumberFormat="1" applyFont="1" applyBorder="1" applyAlignment="1" applyProtection="1">
      <alignment horizontal="center" vertical="center" wrapText="1"/>
      <protection locked="0"/>
    </xf>
    <xf numFmtId="173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173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173" fontId="9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vertical="center"/>
    </xf>
    <xf numFmtId="173" fontId="15" fillId="0" borderId="16" xfId="0" applyNumberFormat="1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73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3" fontId="18" fillId="0" borderId="0" xfId="0" applyNumberFormat="1" applyFont="1" applyBorder="1" applyAlignment="1" applyProtection="1">
      <alignment horizontal="left" vertical="center" wrapText="1"/>
      <protection locked="0"/>
    </xf>
    <xf numFmtId="173" fontId="18" fillId="0" borderId="0" xfId="0" applyNumberFormat="1" applyFont="1" applyBorder="1" applyAlignment="1" applyProtection="1">
      <alignment horizontal="center" vertical="center" wrapText="1"/>
      <protection locked="0"/>
    </xf>
    <xf numFmtId="173" fontId="8" fillId="0" borderId="0" xfId="0" applyNumberFormat="1" applyFont="1" applyBorder="1" applyAlignment="1" applyProtection="1">
      <alignment horizontal="left" vertical="center" wrapText="1"/>
      <protection locked="0"/>
    </xf>
    <xf numFmtId="165" fontId="8" fillId="0" borderId="0" xfId="0" applyNumberFormat="1" applyFont="1" applyBorder="1" applyAlignment="1" applyProtection="1">
      <alignment horizontal="center" vertical="center" wrapText="1"/>
      <protection locked="0"/>
    </xf>
    <xf numFmtId="173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6" fillId="0" borderId="19" xfId="0" applyFont="1" applyBorder="1" applyAlignment="1" applyProtection="1">
      <alignment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173" fontId="16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vertical="center"/>
      <protection locked="0"/>
    </xf>
    <xf numFmtId="173" fontId="16" fillId="0" borderId="22" xfId="0" applyNumberFormat="1" applyFont="1" applyBorder="1" applyAlignment="1" applyProtection="1">
      <alignment horizontal="center" vertical="center"/>
      <protection locked="0"/>
    </xf>
    <xf numFmtId="173" fontId="16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173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173" fontId="16" fillId="0" borderId="26" xfId="0" applyNumberFormat="1" applyFont="1" applyBorder="1" applyAlignment="1" applyProtection="1">
      <alignment horizontal="center" vertical="center"/>
      <protection locked="0"/>
    </xf>
    <xf numFmtId="173" fontId="19" fillId="0" borderId="0" xfId="0" applyNumberFormat="1" applyFont="1" applyBorder="1" applyAlignment="1" applyProtection="1">
      <alignment horizontal="center" vertical="center"/>
      <protection locked="0"/>
    </xf>
    <xf numFmtId="173" fontId="16" fillId="0" borderId="27" xfId="0" applyNumberFormat="1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173" fontId="16" fillId="0" borderId="30" xfId="0" applyNumberFormat="1" applyFont="1" applyBorder="1" applyAlignment="1" applyProtection="1">
      <alignment horizontal="center" vertical="center"/>
      <protection locked="0"/>
    </xf>
    <xf numFmtId="173" fontId="16" fillId="0" borderId="0" xfId="0" applyNumberFormat="1" applyFont="1" applyBorder="1" applyAlignment="1" applyProtection="1">
      <alignment horizontal="center" vertical="center"/>
      <protection locked="0"/>
    </xf>
    <xf numFmtId="173" fontId="16" fillId="0" borderId="3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173" fontId="16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3" fontId="2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173" fontId="16" fillId="0" borderId="36" xfId="0" applyNumberFormat="1" applyFont="1" applyBorder="1" applyAlignment="1" applyProtection="1">
      <alignment horizontal="center" vertical="center"/>
      <protection locked="0"/>
    </xf>
    <xf numFmtId="173" fontId="16" fillId="0" borderId="37" xfId="0" applyNumberFormat="1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173" fontId="26" fillId="0" borderId="0" xfId="0" applyNumberFormat="1" applyFont="1" applyAlignment="1" applyProtection="1">
      <alignment horizontal="center" vertical="center"/>
      <protection locked="0"/>
    </xf>
    <xf numFmtId="173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1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173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173" fontId="22" fillId="0" borderId="31" xfId="0" applyNumberFormat="1" applyFont="1" applyBorder="1" applyAlignment="1" applyProtection="1">
      <alignment horizontal="center" vertical="center"/>
      <protection locked="0"/>
    </xf>
    <xf numFmtId="173" fontId="22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173" fontId="19" fillId="0" borderId="0" xfId="0" applyNumberFormat="1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73" fontId="22" fillId="0" borderId="0" xfId="0" applyNumberFormat="1" applyFont="1" applyBorder="1" applyAlignment="1" applyProtection="1">
      <alignment vertical="center"/>
      <protection locked="0"/>
    </xf>
    <xf numFmtId="173" fontId="20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73" fontId="29" fillId="0" borderId="0" xfId="0" applyNumberFormat="1" applyFont="1" applyFill="1" applyBorder="1" applyAlignment="1" applyProtection="1">
      <alignment horizontal="center" vertical="center"/>
      <protection locked="0"/>
    </xf>
    <xf numFmtId="173" fontId="35" fillId="0" borderId="34" xfId="0" applyNumberFormat="1" applyFont="1" applyFill="1" applyBorder="1" applyAlignment="1" applyProtection="1">
      <alignment vertical="center"/>
      <protection locked="0"/>
    </xf>
    <xf numFmtId="173" fontId="22" fillId="0" borderId="34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NumberFormat="1" applyFont="1" applyBorder="1" applyAlignment="1" applyProtection="1">
      <alignment horizontal="left" vertical="center" wrapText="1"/>
      <protection locked="0"/>
    </xf>
    <xf numFmtId="173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173" fontId="22" fillId="0" borderId="14" xfId="0" applyNumberFormat="1" applyFont="1" applyBorder="1" applyAlignment="1" applyProtection="1">
      <alignment horizontal="center" vertical="center"/>
      <protection locked="0"/>
    </xf>
    <xf numFmtId="173" fontId="16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37" fillId="0" borderId="19" xfId="0" applyFont="1" applyBorder="1" applyAlignment="1" applyProtection="1">
      <alignment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173" fontId="37" fillId="0" borderId="42" xfId="0" applyNumberFormat="1" applyFont="1" applyFill="1" applyBorder="1" applyAlignment="1" applyProtection="1">
      <alignment horizontal="center" vertical="center"/>
      <protection locked="0"/>
    </xf>
    <xf numFmtId="0" fontId="37" fillId="0" borderId="36" xfId="0" applyFont="1" applyFill="1" applyBorder="1" applyAlignment="1" applyProtection="1">
      <alignment vertical="center"/>
      <protection locked="0"/>
    </xf>
    <xf numFmtId="173" fontId="37" fillId="0" borderId="30" xfId="0" applyNumberFormat="1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left" vertical="center"/>
      <protection locked="0"/>
    </xf>
    <xf numFmtId="0" fontId="37" fillId="0" borderId="36" xfId="0" applyFon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right" vertical="center"/>
      <protection locked="0"/>
    </xf>
    <xf numFmtId="1" fontId="16" fillId="0" borderId="36" xfId="0" applyNumberFormat="1" applyFont="1" applyFill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vertical="center"/>
      <protection locked="0"/>
    </xf>
    <xf numFmtId="0" fontId="37" fillId="0" borderId="37" xfId="0" applyFont="1" applyBorder="1" applyAlignment="1" applyProtection="1">
      <alignment horizontal="center" vertical="center"/>
      <protection locked="0"/>
    </xf>
    <xf numFmtId="0" fontId="37" fillId="0" borderId="37" xfId="0" applyFont="1" applyFill="1" applyBorder="1" applyAlignment="1" applyProtection="1">
      <alignment vertical="center"/>
      <protection locked="0"/>
    </xf>
    <xf numFmtId="173" fontId="37" fillId="0" borderId="31" xfId="0" applyNumberFormat="1" applyFont="1" applyFill="1" applyBorder="1" applyAlignment="1" applyProtection="1">
      <alignment horizontal="center" vertical="center"/>
      <protection locked="0"/>
    </xf>
    <xf numFmtId="0" fontId="37" fillId="0" borderId="21" xfId="0" applyFont="1" applyFill="1" applyBorder="1" applyAlignment="1" applyProtection="1">
      <alignment horizontal="left" vertical="center"/>
      <protection locked="0"/>
    </xf>
    <xf numFmtId="11" fontId="37" fillId="0" borderId="37" xfId="0" applyNumberFormat="1" applyFont="1" applyFill="1" applyBorder="1" applyAlignment="1" applyProtection="1">
      <alignment horizontal="center" vertical="center"/>
      <protection locked="0"/>
    </xf>
    <xf numFmtId="1" fontId="16" fillId="0" borderId="31" xfId="0" applyNumberFormat="1" applyFont="1" applyFill="1" applyBorder="1" applyAlignment="1" applyProtection="1">
      <alignment horizontal="center" vertical="center"/>
      <protection locked="0"/>
    </xf>
    <xf numFmtId="11" fontId="16" fillId="0" borderId="45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37" fillId="0" borderId="21" xfId="0" applyFont="1" applyFill="1" applyBorder="1" applyAlignment="1" applyProtection="1">
      <alignment vertical="center"/>
      <protection locked="0"/>
    </xf>
    <xf numFmtId="0" fontId="37" fillId="0" borderId="37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right" vertical="center"/>
      <protection locked="0"/>
    </xf>
    <xf numFmtId="1" fontId="16" fillId="0" borderId="46" xfId="0" applyNumberFormat="1" applyFont="1" applyFill="1" applyBorder="1" applyAlignment="1" applyProtection="1">
      <alignment horizontal="center" vertical="center"/>
      <protection locked="0"/>
    </xf>
    <xf numFmtId="1" fontId="16" fillId="0" borderId="47" xfId="0" applyNumberFormat="1" applyFont="1" applyFill="1" applyBorder="1" applyAlignment="1" applyProtection="1">
      <alignment horizontal="center" vertical="center"/>
      <protection locked="0"/>
    </xf>
    <xf numFmtId="0" fontId="31" fillId="0" borderId="4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" fontId="37" fillId="0" borderId="42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7" fillId="0" borderId="32" xfId="0" applyFont="1" applyBorder="1" applyAlignment="1" applyProtection="1">
      <alignment vertical="center"/>
      <protection locked="0"/>
    </xf>
    <xf numFmtId="0" fontId="37" fillId="0" borderId="50" xfId="0" applyFont="1" applyBorder="1" applyAlignment="1" applyProtection="1">
      <alignment horizontal="center" vertical="center"/>
      <protection locked="0"/>
    </xf>
    <xf numFmtId="0" fontId="37" fillId="0" borderId="50" xfId="0" applyFont="1" applyFill="1" applyBorder="1" applyAlignment="1" applyProtection="1">
      <alignment vertical="center"/>
      <protection locked="0"/>
    </xf>
    <xf numFmtId="173" fontId="37" fillId="0" borderId="33" xfId="0" applyNumberFormat="1" applyFont="1" applyFill="1" applyBorder="1" applyAlignment="1" applyProtection="1">
      <alignment horizontal="center" vertical="center"/>
      <protection locked="0"/>
    </xf>
    <xf numFmtId="0" fontId="37" fillId="0" borderId="32" xfId="0" applyFont="1" applyFill="1" applyBorder="1" applyAlignment="1" applyProtection="1">
      <alignment vertical="center"/>
      <protection locked="0"/>
    </xf>
    <xf numFmtId="0" fontId="37" fillId="0" borderId="50" xfId="0" applyFont="1" applyFill="1" applyBorder="1" applyAlignment="1" applyProtection="1">
      <alignment horizontal="center" vertical="center"/>
      <protection locked="0"/>
    </xf>
    <xf numFmtId="0" fontId="31" fillId="0" borderId="33" xfId="0" applyFont="1" applyFill="1" applyBorder="1" applyAlignment="1">
      <alignment horizontal="center" vertical="center"/>
    </xf>
    <xf numFmtId="0" fontId="16" fillId="0" borderId="51" xfId="0" applyFont="1" applyFill="1" applyBorder="1" applyAlignment="1" applyProtection="1">
      <alignment horizontal="right" vertical="center"/>
      <protection locked="0"/>
    </xf>
    <xf numFmtId="0" fontId="31" fillId="0" borderId="50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 wrapText="1"/>
      <protection locked="0"/>
    </xf>
    <xf numFmtId="173" fontId="39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horizontal="center" vertical="center"/>
      <protection locked="0"/>
    </xf>
    <xf numFmtId="173" fontId="37" fillId="24" borderId="0" xfId="0" applyNumberFormat="1" applyFont="1" applyFill="1" applyBorder="1" applyAlignment="1">
      <alignment horizontal="center" vertical="center"/>
    </xf>
    <xf numFmtId="0" fontId="22" fillId="0" borderId="40" xfId="0" applyFont="1" applyBorder="1" applyAlignment="1" applyProtection="1">
      <alignment vertical="center"/>
      <protection locked="0"/>
    </xf>
    <xf numFmtId="0" fontId="37" fillId="0" borderId="21" xfId="0" applyFont="1" applyBorder="1" applyAlignment="1" applyProtection="1">
      <alignment horizontal="left" vertical="center"/>
      <protection locked="0"/>
    </xf>
    <xf numFmtId="0" fontId="37" fillId="0" borderId="42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right" vertical="center"/>
    </xf>
    <xf numFmtId="173" fontId="16" fillId="24" borderId="30" xfId="0" applyNumberFormat="1" applyFont="1" applyFill="1" applyBorder="1" applyAlignment="1">
      <alignment horizontal="left" vertical="center"/>
    </xf>
    <xf numFmtId="0" fontId="37" fillId="0" borderId="21" xfId="0" applyFont="1" applyBorder="1" applyAlignment="1" applyProtection="1">
      <alignment horizontal="left" vertical="center" shrinkToFit="1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>
      <alignment horizontal="right" vertical="center"/>
    </xf>
    <xf numFmtId="173" fontId="16" fillId="24" borderId="31" xfId="0" applyNumberFormat="1" applyFont="1" applyFill="1" applyBorder="1" applyAlignment="1">
      <alignment horizontal="left" vertical="center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 shrinkToFit="1"/>
      <protection locked="0"/>
    </xf>
    <xf numFmtId="0" fontId="37" fillId="0" borderId="32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>
      <alignment horizontal="right" vertical="center"/>
    </xf>
    <xf numFmtId="173" fontId="16" fillId="24" borderId="46" xfId="0" applyNumberFormat="1" applyFont="1" applyFill="1" applyBorder="1" applyAlignment="1">
      <alignment horizontal="left" vertical="center"/>
    </xf>
    <xf numFmtId="0" fontId="37" fillId="0" borderId="19" xfId="0" applyFont="1" applyBorder="1" applyAlignment="1" applyProtection="1">
      <alignment horizontal="left" vertical="center" shrinkToFit="1"/>
      <protection locked="0"/>
    </xf>
    <xf numFmtId="1" fontId="37" fillId="0" borderId="30" xfId="0" applyNumberFormat="1" applyFont="1" applyFill="1" applyBorder="1" applyAlignment="1" applyProtection="1">
      <alignment horizontal="center" vertical="center"/>
      <protection locked="0"/>
    </xf>
    <xf numFmtId="1" fontId="37" fillId="0" borderId="0" xfId="0" applyNumberFormat="1" applyFont="1" applyFill="1" applyBorder="1" applyAlignment="1" applyProtection="1">
      <alignment horizontal="center" vertical="center"/>
      <protection locked="0"/>
    </xf>
    <xf numFmtId="1" fontId="37" fillId="0" borderId="31" xfId="0" applyNumberFormat="1" applyFont="1" applyFill="1" applyBorder="1" applyAlignment="1" applyProtection="1">
      <alignment horizontal="center" vertical="center"/>
      <protection locked="0"/>
    </xf>
    <xf numFmtId="1" fontId="37" fillId="0" borderId="33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173" fontId="37" fillId="24" borderId="0" xfId="0" applyNumberFormat="1" applyFont="1" applyFill="1" applyBorder="1" applyAlignment="1">
      <alignment horizontal="left" vertical="center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173" fontId="37" fillId="0" borderId="0" xfId="0" applyNumberFormat="1" applyFont="1" applyFill="1" applyBorder="1" applyAlignment="1" applyProtection="1">
      <alignment horizontal="center" vertical="center"/>
      <protection locked="0"/>
    </xf>
    <xf numFmtId="173" fontId="17" fillId="24" borderId="46" xfId="0" applyNumberFormat="1" applyFont="1" applyFill="1" applyBorder="1" applyAlignment="1">
      <alignment horizontal="left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5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 vertical="center"/>
    </xf>
    <xf numFmtId="173" fontId="17" fillId="24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0" fontId="39" fillId="0" borderId="54" xfId="0" applyFont="1" applyBorder="1" applyAlignment="1" applyProtection="1">
      <alignment horizontal="center" vertical="center"/>
      <protection locked="0"/>
    </xf>
    <xf numFmtId="0" fontId="39" fillId="0" borderId="55" xfId="0" applyFont="1" applyBorder="1" applyAlignment="1" applyProtection="1">
      <alignment horizontal="left" vertical="center"/>
      <protection locked="0"/>
    </xf>
    <xf numFmtId="0" fontId="39" fillId="0" borderId="41" xfId="0" applyFont="1" applyBorder="1" applyAlignment="1" applyProtection="1">
      <alignment horizontal="center" vertical="center"/>
      <protection locked="0"/>
    </xf>
    <xf numFmtId="0" fontId="39" fillId="0" borderId="56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1" fontId="37" fillId="0" borderId="57" xfId="0" applyNumberFormat="1" applyFont="1" applyBorder="1" applyAlignment="1" applyProtection="1">
      <alignment horizontal="center" vertical="center"/>
      <protection locked="0"/>
    </xf>
    <xf numFmtId="0" fontId="37" fillId="0" borderId="58" xfId="0" applyFont="1" applyBorder="1" applyAlignment="1" applyProtection="1">
      <alignment horizontal="left" vertical="center"/>
      <protection locked="0"/>
    </xf>
    <xf numFmtId="1" fontId="37" fillId="0" borderId="36" xfId="0" applyNumberFormat="1" applyFont="1" applyFill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vertical="center" shrinkToFit="1"/>
      <protection locked="0"/>
    </xf>
    <xf numFmtId="1" fontId="37" fillId="0" borderId="3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37" fillId="0" borderId="19" xfId="0" applyFont="1" applyBorder="1" applyAlignment="1" applyProtection="1">
      <alignment horizontal="center" vertical="center"/>
      <protection locked="0"/>
    </xf>
    <xf numFmtId="1" fontId="17" fillId="0" borderId="36" xfId="0" applyNumberFormat="1" applyFont="1" applyBorder="1" applyAlignment="1" applyProtection="1">
      <alignment horizontal="center" vertical="center"/>
      <protection locked="0"/>
    </xf>
    <xf numFmtId="1" fontId="37" fillId="0" borderId="21" xfId="0" applyNumberFormat="1" applyFont="1" applyBorder="1" applyAlignment="1" applyProtection="1">
      <alignment horizontal="center" vertical="center"/>
      <protection locked="0"/>
    </xf>
    <xf numFmtId="0" fontId="37" fillId="0" borderId="59" xfId="0" applyFont="1" applyBorder="1" applyAlignment="1" applyProtection="1">
      <alignment horizontal="left" vertical="center"/>
      <protection locked="0"/>
    </xf>
    <xf numFmtId="1" fontId="37" fillId="0" borderId="37" xfId="0" applyNumberFormat="1" applyFont="1" applyFill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vertical="center" shrinkToFit="1"/>
      <protection locked="0"/>
    </xf>
    <xf numFmtId="1" fontId="37" fillId="0" borderId="31" xfId="0" applyNumberFormat="1" applyFont="1" applyFill="1" applyBorder="1" applyAlignment="1">
      <alignment horizontal="center" vertical="center"/>
    </xf>
    <xf numFmtId="1" fontId="17" fillId="0" borderId="37" xfId="0" applyNumberFormat="1" applyFont="1" applyBorder="1" applyAlignment="1" applyProtection="1">
      <alignment horizontal="center" vertical="center"/>
      <protection locked="0"/>
    </xf>
    <xf numFmtId="1" fontId="17" fillId="0" borderId="50" xfId="0" applyNumberFormat="1" applyFont="1" applyBorder="1" applyAlignment="1" applyProtection="1">
      <alignment horizontal="center" vertical="center"/>
      <protection locked="0"/>
    </xf>
    <xf numFmtId="1" fontId="37" fillId="0" borderId="32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1" fontId="37" fillId="0" borderId="37" xfId="0" applyNumberFormat="1" applyFont="1" applyBorder="1" applyAlignment="1" applyProtection="1">
      <alignment horizontal="center" vertical="center"/>
      <protection locked="0"/>
    </xf>
    <xf numFmtId="1" fontId="37" fillId="0" borderId="42" xfId="0" applyNumberFormat="1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60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7" fillId="0" borderId="36" xfId="0" applyNumberFormat="1" applyFont="1" applyBorder="1" applyAlignment="1" applyProtection="1">
      <alignment horizontal="center" vertical="center"/>
      <protection locked="0"/>
    </xf>
    <xf numFmtId="0" fontId="37" fillId="0" borderId="37" xfId="0" applyNumberFormat="1" applyFont="1" applyBorder="1" applyAlignment="1" applyProtection="1">
      <alignment horizontal="center" vertical="center"/>
      <protection locked="0"/>
    </xf>
    <xf numFmtId="0" fontId="37" fillId="0" borderId="61" xfId="0" applyFont="1" applyBorder="1" applyAlignment="1" applyProtection="1">
      <alignment horizontal="left" vertical="center"/>
      <protection locked="0"/>
    </xf>
    <xf numFmtId="1" fontId="37" fillId="0" borderId="50" xfId="0" applyNumberFormat="1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vertical="center" shrinkToFit="1"/>
      <protection locked="0"/>
    </xf>
    <xf numFmtId="1" fontId="37" fillId="0" borderId="62" xfId="0" applyNumberFormat="1" applyFont="1" applyBorder="1" applyAlignment="1" applyProtection="1">
      <alignment horizontal="center" vertical="center"/>
      <protection locked="0"/>
    </xf>
    <xf numFmtId="1" fontId="37" fillId="0" borderId="0" xfId="0" applyNumberFormat="1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vertical="center"/>
      <protection locked="0"/>
    </xf>
    <xf numFmtId="0" fontId="37" fillId="0" borderId="19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vertical="center"/>
      <protection locked="0"/>
    </xf>
    <xf numFmtId="0" fontId="37" fillId="0" borderId="42" xfId="0" applyFont="1" applyBorder="1" applyAlignment="1" applyProtection="1">
      <alignment vertical="center"/>
      <protection locked="0"/>
    </xf>
    <xf numFmtId="0" fontId="37" fillId="0" borderId="41" xfId="0" applyFont="1" applyBorder="1" applyAlignment="1" applyProtection="1">
      <alignment horizontal="center" vertical="center"/>
      <protection locked="0"/>
    </xf>
    <xf numFmtId="0" fontId="37" fillId="0" borderId="42" xfId="0" applyFont="1" applyBorder="1" applyAlignment="1" applyProtection="1">
      <alignment horizontal="center" vertical="center"/>
      <protection locked="0"/>
    </xf>
    <xf numFmtId="1" fontId="37" fillId="0" borderId="37" xfId="0" applyNumberFormat="1" applyFont="1" applyFill="1" applyBorder="1" applyAlignment="1">
      <alignment horizontal="center" vertical="center"/>
    </xf>
    <xf numFmtId="1" fontId="37" fillId="0" borderId="42" xfId="0" applyNumberFormat="1" applyFont="1" applyFill="1" applyBorder="1" applyAlignment="1">
      <alignment horizontal="center" vertical="center"/>
    </xf>
    <xf numFmtId="1" fontId="37" fillId="0" borderId="31" xfId="0" applyNumberFormat="1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1" fontId="37" fillId="0" borderId="50" xfId="0" applyNumberFormat="1" applyFont="1" applyFill="1" applyBorder="1" applyAlignment="1">
      <alignment horizontal="center" vertical="center"/>
    </xf>
    <xf numFmtId="0" fontId="37" fillId="0" borderId="15" xfId="0" applyNumberFormat="1" applyFont="1" applyBorder="1" applyAlignment="1" applyProtection="1">
      <alignment horizontal="left" vertical="center"/>
      <protection locked="0"/>
    </xf>
    <xf numFmtId="1" fontId="37" fillId="0" borderId="50" xfId="0" applyNumberFormat="1" applyFont="1" applyFill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37" fillId="0" borderId="35" xfId="0" applyNumberFormat="1" applyFont="1" applyBorder="1" applyAlignment="1" applyProtection="1">
      <alignment horizontal="left" vertical="center"/>
      <protection locked="0"/>
    </xf>
    <xf numFmtId="0" fontId="37" fillId="0" borderId="50" xfId="0" applyNumberFormat="1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1" fontId="37" fillId="0" borderId="34" xfId="0" applyNumberFormat="1" applyFont="1" applyFill="1" applyBorder="1" applyAlignment="1" applyProtection="1">
      <alignment horizontal="center" vertical="center"/>
      <protection locked="0"/>
    </xf>
    <xf numFmtId="1" fontId="37" fillId="0" borderId="36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Border="1" applyAlignment="1" applyProtection="1">
      <alignment horizontal="left" vertical="center"/>
      <protection locked="0"/>
    </xf>
    <xf numFmtId="0" fontId="37" fillId="0" borderId="57" xfId="0" applyNumberFormat="1" applyFont="1" applyBorder="1" applyAlignment="1" applyProtection="1">
      <alignment horizontal="left" vertical="center"/>
      <protection locked="0"/>
    </xf>
    <xf numFmtId="1" fontId="37" fillId="0" borderId="52" xfId="0" applyNumberFormat="1" applyFont="1" applyBorder="1" applyAlignment="1" applyProtection="1">
      <alignment horizontal="center" vertical="center"/>
      <protection locked="0"/>
    </xf>
    <xf numFmtId="0" fontId="41" fillId="0" borderId="5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right" vertical="center"/>
      <protection locked="0"/>
    </xf>
    <xf numFmtId="1" fontId="37" fillId="0" borderId="30" xfId="0" applyNumberFormat="1" applyFont="1" applyBorder="1" applyAlignment="1" applyProtection="1">
      <alignment horizontal="center" vertical="center"/>
      <protection locked="0"/>
    </xf>
    <xf numFmtId="17" fontId="37" fillId="0" borderId="19" xfId="0" applyNumberFormat="1" applyFont="1" applyBorder="1" applyAlignment="1" applyProtection="1">
      <alignment horizontal="center" vertical="center"/>
      <protection locked="0"/>
    </xf>
    <xf numFmtId="1" fontId="37" fillId="0" borderId="33" xfId="0" applyNumberFormat="1" applyFont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vertical="center"/>
      <protection locked="0"/>
    </xf>
    <xf numFmtId="0" fontId="37" fillId="0" borderId="40" xfId="0" applyFont="1" applyBorder="1" applyAlignment="1" applyProtection="1">
      <alignment horizontal="center" vertical="center"/>
      <protection locked="0"/>
    </xf>
    <xf numFmtId="1" fontId="37" fillId="0" borderId="40" xfId="0" applyNumberFormat="1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vertical="center" shrinkToFit="1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1" fontId="37" fillId="0" borderId="14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1" fontId="42" fillId="0" borderId="0" xfId="0" applyNumberFormat="1" applyFont="1" applyBorder="1" applyAlignment="1" applyProtection="1">
      <alignment horizontal="center" vertical="center"/>
      <protection locked="0"/>
    </xf>
    <xf numFmtId="0" fontId="42" fillId="0" borderId="63" xfId="0" applyFont="1" applyBorder="1" applyAlignment="1" applyProtection="1">
      <alignment vertical="center"/>
      <protection locked="0"/>
    </xf>
    <xf numFmtId="0" fontId="42" fillId="0" borderId="63" xfId="0" applyNumberFormat="1" applyFont="1" applyBorder="1" applyAlignment="1" applyProtection="1">
      <alignment horizontal="left" vertical="center" wrapText="1"/>
      <protection locked="0"/>
    </xf>
    <xf numFmtId="1" fontId="42" fillId="0" borderId="63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7" fillId="0" borderId="0" xfId="0" applyNumberFormat="1" applyFont="1" applyBorder="1" applyAlignment="1" applyProtection="1">
      <alignment horizontal="left" vertical="center" wrapText="1"/>
      <protection locked="0"/>
    </xf>
    <xf numFmtId="1" fontId="37" fillId="0" borderId="0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173" fontId="29" fillId="0" borderId="0" xfId="0" applyNumberFormat="1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1" fontId="17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173" fontId="37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73" fontId="1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2" fontId="16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6" fillId="0" borderId="0" xfId="0" applyNumberFormat="1" applyFont="1" applyBorder="1" applyAlignment="1" applyProtection="1">
      <alignment vertical="center"/>
      <protection locked="0"/>
    </xf>
    <xf numFmtId="173" fontId="35" fillId="0" borderId="0" xfId="0" applyNumberFormat="1" applyFont="1" applyFill="1" applyBorder="1" applyAlignment="1" applyProtection="1">
      <alignment horizontal="center" vertical="center"/>
      <protection locked="0"/>
    </xf>
    <xf numFmtId="173" fontId="17" fillId="0" borderId="0" xfId="0" applyNumberFormat="1" applyFont="1" applyFill="1" applyBorder="1" applyAlignment="1" applyProtection="1">
      <alignment horizontal="center" vertical="center"/>
      <protection locked="0"/>
    </xf>
    <xf numFmtId="173" fontId="16" fillId="0" borderId="0" xfId="0" applyNumberFormat="1" applyFont="1" applyFill="1" applyBorder="1" applyAlignment="1" applyProtection="1">
      <alignment horizontal="right" vertical="center"/>
      <protection locked="0"/>
    </xf>
    <xf numFmtId="173" fontId="30" fillId="0" borderId="0" xfId="0" applyNumberFormat="1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11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1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 vertical="center"/>
    </xf>
    <xf numFmtId="173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173" fontId="17" fillId="0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16" fillId="24" borderId="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7" fillId="0" borderId="0" xfId="42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vertical="center"/>
      <protection locked="0"/>
    </xf>
    <xf numFmtId="173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vertical="center"/>
      <protection locked="0"/>
    </xf>
    <xf numFmtId="173" fontId="24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64" xfId="0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vertical="center"/>
      <protection locked="0"/>
    </xf>
    <xf numFmtId="0" fontId="27" fillId="0" borderId="64" xfId="0" applyFont="1" applyBorder="1" applyAlignment="1" applyProtection="1">
      <alignment vertical="center"/>
      <protection locked="0"/>
    </xf>
    <xf numFmtId="0" fontId="24" fillId="0" borderId="64" xfId="0" applyNumberFormat="1" applyFont="1" applyBorder="1" applyAlignment="1" applyProtection="1">
      <alignment vertical="center"/>
      <protection locked="0"/>
    </xf>
    <xf numFmtId="0" fontId="23" fillId="0" borderId="64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 locked="0"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vertical="center"/>
      <protection locked="0"/>
    </xf>
    <xf numFmtId="173" fontId="22" fillId="0" borderId="30" xfId="0" applyNumberFormat="1" applyFont="1" applyBorder="1" applyAlignment="1" applyProtection="1">
      <alignment horizontal="center" vertical="center" wrapText="1"/>
      <protection locked="0"/>
    </xf>
    <xf numFmtId="1" fontId="16" fillId="0" borderId="65" xfId="0" applyNumberFormat="1" applyFont="1" applyBorder="1" applyAlignment="1" applyProtection="1">
      <alignment horizontal="center" vertical="center"/>
      <protection locked="0"/>
    </xf>
    <xf numFmtId="173" fontId="22" fillId="0" borderId="19" xfId="0" applyNumberFormat="1" applyFont="1" applyBorder="1" applyAlignment="1" applyProtection="1">
      <alignment horizontal="center" vertical="center" wrapText="1"/>
      <protection locked="0"/>
    </xf>
    <xf numFmtId="1" fontId="16" fillId="0" borderId="30" xfId="0" applyNumberFormat="1" applyFont="1" applyBorder="1" applyAlignment="1" applyProtection="1">
      <alignment horizontal="left" vertical="center"/>
      <protection locked="0"/>
    </xf>
    <xf numFmtId="0" fontId="16" fillId="0" borderId="36" xfId="0" applyFont="1" applyBorder="1" applyAlignment="1" applyProtection="1">
      <alignment vertical="center"/>
      <protection locked="0"/>
    </xf>
    <xf numFmtId="0" fontId="16" fillId="0" borderId="19" xfId="0" applyNumberFormat="1" applyFont="1" applyBorder="1" applyAlignment="1" applyProtection="1">
      <alignment horizontal="right" vertical="center"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173" fontId="22" fillId="0" borderId="31" xfId="0" applyNumberFormat="1" applyFont="1" applyBorder="1" applyAlignment="1" applyProtection="1">
      <alignment horizontal="center" vertical="center" wrapText="1"/>
      <protection locked="0"/>
    </xf>
    <xf numFmtId="1" fontId="16" fillId="0" borderId="45" xfId="0" applyNumberFormat="1" applyFont="1" applyBorder="1" applyAlignment="1" applyProtection="1">
      <alignment horizontal="center" vertical="center"/>
      <protection locked="0"/>
    </xf>
    <xf numFmtId="173" fontId="22" fillId="0" borderId="21" xfId="0" applyNumberFormat="1" applyFont="1" applyBorder="1" applyAlignment="1" applyProtection="1">
      <alignment horizontal="center" vertical="center" wrapText="1"/>
      <protection locked="0"/>
    </xf>
    <xf numFmtId="1" fontId="16" fillId="0" borderId="31" xfId="0" applyNumberFormat="1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vertical="center"/>
      <protection locked="0"/>
    </xf>
    <xf numFmtId="1" fontId="16" fillId="0" borderId="21" xfId="0" applyNumberFormat="1" applyFont="1" applyBorder="1" applyAlignment="1" applyProtection="1">
      <alignment horizontal="right"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32" fillId="0" borderId="15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vertical="center"/>
      <protection locked="0"/>
    </xf>
    <xf numFmtId="173" fontId="22" fillId="0" borderId="33" xfId="0" applyNumberFormat="1" applyFont="1" applyBorder="1" applyAlignment="1" applyProtection="1">
      <alignment horizontal="center" vertical="center" wrapText="1"/>
      <protection locked="0"/>
    </xf>
    <xf numFmtId="0" fontId="16" fillId="0" borderId="51" xfId="0" applyNumberFormat="1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1" fontId="16" fillId="0" borderId="19" xfId="0" applyNumberFormat="1" applyFont="1" applyBorder="1" applyAlignment="1" applyProtection="1">
      <alignment horizontal="center" vertical="center"/>
      <protection locked="0"/>
    </xf>
    <xf numFmtId="1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1" xfId="0" applyNumberFormat="1" applyFont="1" applyBorder="1" applyAlignment="1" applyProtection="1">
      <alignment horizontal="right" vertical="center"/>
      <protection locked="0"/>
    </xf>
    <xf numFmtId="0" fontId="32" fillId="0" borderId="35" xfId="0" applyFont="1" applyBorder="1" applyAlignment="1" applyProtection="1">
      <alignment vertical="center"/>
      <protection locked="0"/>
    </xf>
    <xf numFmtId="0" fontId="19" fillId="0" borderId="32" xfId="0" applyFont="1" applyBorder="1" applyAlignment="1" applyProtection="1">
      <alignment vertical="center"/>
      <protection locked="0"/>
    </xf>
    <xf numFmtId="1" fontId="16" fillId="0" borderId="33" xfId="0" applyNumberFormat="1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horizontal="left" vertical="center"/>
      <protection locked="0"/>
    </xf>
    <xf numFmtId="1" fontId="16" fillId="0" borderId="37" xfId="0" applyNumberFormat="1" applyFont="1" applyBorder="1" applyAlignment="1" applyProtection="1">
      <alignment horizontal="center" vertical="center"/>
      <protection locked="0"/>
    </xf>
    <xf numFmtId="0" fontId="16" fillId="0" borderId="57" xfId="0" applyFont="1" applyFill="1" applyBorder="1" applyAlignment="1" applyProtection="1">
      <alignment vertical="center"/>
      <protection locked="0"/>
    </xf>
    <xf numFmtId="173" fontId="22" fillId="0" borderId="30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1" fontId="16" fillId="0" borderId="30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1" fontId="16" fillId="0" borderId="31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1" fontId="16" fillId="0" borderId="31" xfId="0" applyNumberFormat="1" applyFont="1" applyBorder="1" applyAlignment="1" applyProtection="1">
      <alignment horizontal="left" vertical="center"/>
      <protection locked="0"/>
    </xf>
    <xf numFmtId="0" fontId="16" fillId="0" borderId="32" xfId="0" applyNumberFormat="1" applyFont="1" applyBorder="1" applyAlignment="1" applyProtection="1">
      <alignment horizontal="right" vertical="center"/>
      <protection locked="0"/>
    </xf>
    <xf numFmtId="0" fontId="19" fillId="0" borderId="33" xfId="0" applyFont="1" applyBorder="1" applyAlignment="1" applyProtection="1">
      <alignment vertical="center"/>
      <protection locked="0"/>
    </xf>
    <xf numFmtId="1" fontId="16" fillId="0" borderId="50" xfId="0" applyNumberFormat="1" applyFont="1" applyBorder="1" applyAlignment="1" applyProtection="1">
      <alignment horizontal="center" vertical="center"/>
      <protection locked="0"/>
    </xf>
    <xf numFmtId="1" fontId="16" fillId="0" borderId="33" xfId="0" applyNumberFormat="1" applyFont="1" applyBorder="1" applyAlignment="1" applyProtection="1">
      <alignment horizontal="left" vertical="center"/>
      <protection locked="0"/>
    </xf>
    <xf numFmtId="0" fontId="16" fillId="0" borderId="66" xfId="0" applyFont="1" applyBorder="1" applyAlignment="1" applyProtection="1">
      <alignment horizontal="left" vertical="center"/>
      <protection locked="0"/>
    </xf>
    <xf numFmtId="0" fontId="16" fillId="0" borderId="66" xfId="0" applyNumberFormat="1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vertical="center"/>
      <protection locked="0"/>
    </xf>
    <xf numFmtId="173" fontId="22" fillId="0" borderId="66" xfId="0" applyNumberFormat="1" applyFont="1" applyBorder="1" applyAlignment="1" applyProtection="1">
      <alignment horizontal="center" vertical="center" wrapText="1"/>
      <protection locked="0"/>
    </xf>
    <xf numFmtId="1" fontId="16" fillId="0" borderId="66" xfId="0" applyNumberFormat="1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vertical="center"/>
      <protection locked="0"/>
    </xf>
    <xf numFmtId="173" fontId="22" fillId="0" borderId="66" xfId="0" applyNumberFormat="1" applyFont="1" applyBorder="1" applyAlignment="1" applyProtection="1">
      <alignment horizontal="center" vertical="center"/>
      <protection locked="0"/>
    </xf>
    <xf numFmtId="1" fontId="16" fillId="0" borderId="66" xfId="0" applyNumberFormat="1" applyFont="1" applyBorder="1" applyAlignment="1" applyProtection="1">
      <alignment horizontal="left" vertical="center"/>
      <protection locked="0"/>
    </xf>
    <xf numFmtId="0" fontId="42" fillId="0" borderId="55" xfId="0" applyFont="1" applyBorder="1" applyAlignment="1" applyProtection="1">
      <alignment horizontal="center" vertical="center"/>
      <protection locked="0"/>
    </xf>
    <xf numFmtId="0" fontId="42" fillId="0" borderId="38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173" fontId="42" fillId="0" borderId="13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16" fillId="0" borderId="58" xfId="0" applyNumberFormat="1" applyFont="1" applyBorder="1" applyAlignment="1" applyProtection="1">
      <alignment horizontal="left" vertical="center" shrinkToFit="1"/>
      <protection locked="0"/>
    </xf>
    <xf numFmtId="0" fontId="16" fillId="0" borderId="10" xfId="0" applyNumberFormat="1" applyFont="1" applyBorder="1" applyAlignment="1" applyProtection="1">
      <alignment horizontal="center" vertical="center" shrinkToFit="1"/>
      <protection locked="0"/>
    </xf>
    <xf numFmtId="173" fontId="16" fillId="0" borderId="20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Alignment="1" applyProtection="1">
      <alignment vertical="center" shrinkToFit="1"/>
      <protection locked="0"/>
    </xf>
    <xf numFmtId="0" fontId="16" fillId="0" borderId="25" xfId="0" applyNumberFormat="1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vertical="center" shrinkToFit="1"/>
      <protection locked="0"/>
    </xf>
    <xf numFmtId="0" fontId="16" fillId="0" borderId="59" xfId="0" applyNumberFormat="1" applyFont="1" applyBorder="1" applyAlignment="1" applyProtection="1">
      <alignment horizontal="left" vertical="center" shrinkToFit="1"/>
      <protection locked="0"/>
    </xf>
    <xf numFmtId="0" fontId="16" fillId="0" borderId="11" xfId="0" applyNumberFormat="1" applyFont="1" applyBorder="1" applyAlignment="1" applyProtection="1">
      <alignment horizontal="center" vertical="center" shrinkToFit="1"/>
      <protection locked="0"/>
    </xf>
    <xf numFmtId="173" fontId="16" fillId="0" borderId="22" xfId="0" applyNumberFormat="1" applyFont="1" applyBorder="1" applyAlignment="1" applyProtection="1">
      <alignment horizontal="center" vertical="center" shrinkToFit="1"/>
      <protection locked="0"/>
    </xf>
    <xf numFmtId="0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Border="1" applyAlignment="1" applyProtection="1">
      <alignment vertical="center" shrinkToFit="1"/>
      <protection locked="0"/>
    </xf>
    <xf numFmtId="0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16" fillId="0" borderId="26" xfId="0" applyNumberFormat="1" applyFont="1" applyBorder="1" applyAlignment="1" applyProtection="1">
      <alignment horizontal="center" vertical="center" shrinkToFit="1"/>
      <protection locked="0"/>
    </xf>
    <xf numFmtId="0" fontId="16" fillId="0" borderId="61" xfId="0" applyNumberFormat="1" applyFont="1" applyBorder="1" applyAlignment="1" applyProtection="1">
      <alignment horizontal="left" vertical="center" shrinkToFit="1"/>
      <protection locked="0"/>
    </xf>
    <xf numFmtId="0" fontId="16" fillId="0" borderId="12" xfId="0" applyNumberFormat="1" applyFont="1" applyBorder="1" applyAlignment="1" applyProtection="1">
      <alignment horizontal="center" vertical="center" shrinkToFit="1"/>
      <protection locked="0"/>
    </xf>
    <xf numFmtId="173" fontId="16" fillId="0" borderId="27" xfId="0" applyNumberFormat="1" applyFont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173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vertical="center"/>
      <protection locked="0"/>
    </xf>
    <xf numFmtId="0" fontId="16" fillId="0" borderId="59" xfId="0" applyFont="1" applyBorder="1" applyAlignment="1" applyProtection="1">
      <alignment horizontal="left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173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vertical="center"/>
      <protection locked="0"/>
    </xf>
    <xf numFmtId="0" fontId="16" fillId="0" borderId="67" xfId="0" applyFont="1" applyBorder="1" applyAlignment="1" applyProtection="1">
      <alignment horizontal="left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locked="0"/>
    </xf>
    <xf numFmtId="173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59" xfId="0" applyFont="1" applyFill="1" applyBorder="1" applyAlignment="1" applyProtection="1">
      <alignment horizontal="left" vertical="center"/>
      <protection locked="0"/>
    </xf>
    <xf numFmtId="0" fontId="16" fillId="0" borderId="61" xfId="0" applyFont="1" applyBorder="1" applyAlignment="1" applyProtection="1">
      <alignment vertical="center"/>
      <protection locked="0"/>
    </xf>
    <xf numFmtId="0" fontId="42" fillId="0" borderId="54" xfId="0" applyFont="1" applyBorder="1" applyAlignment="1" applyProtection="1">
      <alignment horizontal="center" vertical="center"/>
      <protection locked="0"/>
    </xf>
    <xf numFmtId="0" fontId="42" fillId="0" borderId="29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173" fontId="42" fillId="0" borderId="14" xfId="0" applyNumberFormat="1" applyFont="1" applyBorder="1" applyAlignment="1" applyProtection="1">
      <alignment horizontal="center" vertical="center"/>
      <protection locked="0"/>
    </xf>
    <xf numFmtId="0" fontId="42" fillId="0" borderId="41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16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68" xfId="0" applyNumberFormat="1" applyFont="1" applyBorder="1" applyAlignment="1" applyProtection="1">
      <alignment horizontal="center" vertical="center"/>
      <protection locked="0"/>
    </xf>
    <xf numFmtId="173" fontId="16" fillId="24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58" xfId="0" applyNumberFormat="1" applyFont="1" applyBorder="1" applyAlignment="1" applyProtection="1">
      <alignment vertical="center"/>
      <protection locked="0"/>
    </xf>
    <xf numFmtId="0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69" xfId="0" applyNumberFormat="1" applyFont="1" applyBorder="1" applyAlignment="1" applyProtection="1">
      <alignment horizontal="center" vertical="center"/>
      <protection locked="0"/>
    </xf>
    <xf numFmtId="173" fontId="16" fillId="24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59" xfId="0" applyNumberFormat="1" applyFont="1" applyBorder="1" applyAlignment="1" applyProtection="1">
      <alignment vertical="center"/>
      <protection locked="0"/>
    </xf>
    <xf numFmtId="0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70" xfId="0" applyNumberFormat="1" applyFont="1" applyBorder="1" applyAlignment="1" applyProtection="1">
      <alignment horizontal="center" vertical="center"/>
      <protection locked="0"/>
    </xf>
    <xf numFmtId="173" fontId="16" fillId="24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61" xfId="0" applyNumberFormat="1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2" fillId="0" borderId="60" xfId="0" applyFont="1" applyBorder="1" applyAlignment="1" applyProtection="1">
      <alignment horizontal="center" vertical="center"/>
      <protection locked="0"/>
    </xf>
    <xf numFmtId="173" fontId="42" fillId="0" borderId="18" xfId="0" applyNumberFormat="1" applyFont="1" applyBorder="1" applyAlignment="1" applyProtection="1">
      <alignment horizontal="center" vertical="center"/>
      <protection locked="0"/>
    </xf>
    <xf numFmtId="164" fontId="16" fillId="0" borderId="68" xfId="0" applyNumberFormat="1" applyFont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 applyProtection="1">
      <alignment horizontal="center" vertical="center"/>
      <protection locked="0"/>
    </xf>
    <xf numFmtId="164" fontId="16" fillId="0" borderId="69" xfId="0" applyNumberFormat="1" applyFont="1" applyBorder="1" applyAlignment="1" applyProtection="1">
      <alignment horizontal="center" vertical="center"/>
      <protection locked="0"/>
    </xf>
    <xf numFmtId="164" fontId="16" fillId="0" borderId="11" xfId="0" applyNumberFormat="1" applyFont="1" applyBorder="1" applyAlignment="1" applyProtection="1">
      <alignment horizontal="center" vertical="center"/>
      <protection locked="0"/>
    </xf>
    <xf numFmtId="164" fontId="16" fillId="0" borderId="70" xfId="0" applyNumberFormat="1" applyFont="1" applyBorder="1" applyAlignment="1" applyProtection="1">
      <alignment horizontal="center" vertical="center"/>
      <protection locked="0"/>
    </xf>
    <xf numFmtId="164" fontId="16" fillId="0" borderId="12" xfId="0" applyNumberFormat="1" applyFont="1" applyBorder="1" applyAlignment="1" applyProtection="1">
      <alignment horizontal="center" vertical="center"/>
      <protection locked="0"/>
    </xf>
    <xf numFmtId="173" fontId="16" fillId="0" borderId="50" xfId="0" applyNumberFormat="1" applyFont="1" applyBorder="1" applyAlignment="1" applyProtection="1">
      <alignment horizontal="center" vertical="center"/>
      <protection locked="0"/>
    </xf>
    <xf numFmtId="14" fontId="22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3" fontId="22" fillId="24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vertical="center"/>
      <protection locked="0"/>
    </xf>
    <xf numFmtId="173" fontId="16" fillId="24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7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hidden="1" locked="0"/>
    </xf>
    <xf numFmtId="173" fontId="25" fillId="0" borderId="0" xfId="0" applyNumberFormat="1" applyFont="1" applyBorder="1" applyAlignment="1" applyProtection="1">
      <alignment horizontal="left" vertical="center"/>
      <protection locked="0"/>
    </xf>
    <xf numFmtId="16" fontId="16" fillId="0" borderId="0" xfId="0" applyNumberFormat="1" applyFont="1" applyBorder="1" applyAlignment="1" applyProtection="1">
      <alignment horizontal="center" vertical="center"/>
      <protection locked="0"/>
    </xf>
    <xf numFmtId="17" fontId="16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173" fontId="27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 readingOrder="1"/>
      <protection locked="0"/>
    </xf>
    <xf numFmtId="1" fontId="26" fillId="0" borderId="0" xfId="0" applyNumberFormat="1" applyFont="1" applyBorder="1" applyAlignment="1" applyProtection="1">
      <alignment horizontal="center" vertical="center" readingOrder="1"/>
      <protection locked="0"/>
    </xf>
    <xf numFmtId="0" fontId="26" fillId="0" borderId="0" xfId="0" applyNumberFormat="1" applyFont="1" applyBorder="1" applyAlignment="1" applyProtection="1">
      <alignment horizontal="center" vertical="center" readingOrder="1"/>
      <protection locked="0"/>
    </xf>
    <xf numFmtId="0" fontId="26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1" fillId="0" borderId="0" xfId="42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173" fontId="25" fillId="0" borderId="0" xfId="0" applyNumberFormat="1" applyFont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17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Font="1" applyBorder="1" applyAlignment="1">
      <alignment horizontal="center"/>
    </xf>
    <xf numFmtId="0" fontId="16" fillId="0" borderId="31" xfId="0" applyFont="1" applyBorder="1" applyAlignment="1" applyProtection="1">
      <alignment horizontal="center" vertical="center"/>
      <protection hidden="1" locked="0"/>
    </xf>
    <xf numFmtId="0" fontId="16" fillId="0" borderId="33" xfId="0" applyFont="1" applyBorder="1" applyAlignment="1" applyProtection="1">
      <alignment horizontal="center" vertical="center"/>
      <protection hidden="1" locked="0"/>
    </xf>
    <xf numFmtId="0" fontId="25" fillId="0" borderId="0" xfId="0" applyFont="1" applyAlignment="1" applyProtection="1">
      <alignment horizontal="left" vertical="center"/>
      <protection locked="0"/>
    </xf>
    <xf numFmtId="173" fontId="25" fillId="0" borderId="0" xfId="0" applyNumberFormat="1" applyFont="1" applyAlignment="1" applyProtection="1">
      <alignment horizontal="left" vertical="center"/>
      <protection locked="0"/>
    </xf>
    <xf numFmtId="173" fontId="26" fillId="0" borderId="13" xfId="0" applyNumberFormat="1" applyFont="1" applyBorder="1" applyAlignment="1" applyProtection="1">
      <alignment horizontal="center" vertical="center"/>
      <protection locked="0"/>
    </xf>
    <xf numFmtId="173" fontId="16" fillId="0" borderId="11" xfId="0" applyNumberFormat="1" applyFont="1" applyBorder="1" applyAlignment="1" applyProtection="1">
      <alignment horizontal="center" vertical="center"/>
      <protection locked="0"/>
    </xf>
    <xf numFmtId="16" fontId="16" fillId="0" borderId="11" xfId="0" applyNumberFormat="1" applyFont="1" applyBorder="1" applyAlignment="1" applyProtection="1">
      <alignment horizontal="center" vertical="center"/>
      <protection locked="0"/>
    </xf>
    <xf numFmtId="17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61" xfId="0" applyFont="1" applyFill="1" applyBorder="1" applyAlignment="1" applyProtection="1">
      <alignment horizontal="left" vertical="center"/>
      <protection locked="0"/>
    </xf>
    <xf numFmtId="0" fontId="16" fillId="0" borderId="61" xfId="0" applyFont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73" fontId="26" fillId="0" borderId="4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6" fillId="0" borderId="71" xfId="0" applyFont="1" applyBorder="1" applyAlignment="1" applyProtection="1">
      <alignment vertical="center"/>
      <protection locked="0"/>
    </xf>
    <xf numFmtId="0" fontId="16" fillId="0" borderId="59" xfId="0" applyFont="1" applyFill="1" applyBorder="1" applyAlignment="1" applyProtection="1">
      <alignment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164" fontId="16" fillId="0" borderId="65" xfId="0" applyNumberFormat="1" applyFont="1" applyBorder="1" applyAlignment="1" applyProtection="1">
      <alignment horizontal="center" vertical="center"/>
      <protection locked="0"/>
    </xf>
    <xf numFmtId="1" fontId="16" fillId="0" borderId="45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0" fontId="16" fillId="0" borderId="61" xfId="0" applyFont="1" applyBorder="1" applyAlignment="1" applyProtection="1">
      <alignment horizontal="left" vertical="center" shrinkToFit="1"/>
      <protection locked="0"/>
    </xf>
    <xf numFmtId="164" fontId="16" fillId="0" borderId="5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173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left" vertical="center"/>
      <protection locked="0"/>
    </xf>
    <xf numFmtId="173" fontId="26" fillId="0" borderId="72" xfId="0" applyNumberFormat="1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42" fillId="0" borderId="55" xfId="0" applyFont="1" applyFill="1" applyBorder="1" applyAlignment="1" applyProtection="1">
      <alignment horizontal="center" vertical="center"/>
      <protection locked="0"/>
    </xf>
    <xf numFmtId="0" fontId="42" fillId="0" borderId="38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173" fontId="42" fillId="0" borderId="13" xfId="0" applyNumberFormat="1" applyFont="1" applyFill="1" applyBorder="1" applyAlignment="1" applyProtection="1">
      <alignment horizontal="center" vertical="center"/>
      <protection locked="0"/>
    </xf>
    <xf numFmtId="173" fontId="42" fillId="0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58" xfId="0" applyFont="1" applyFill="1" applyBorder="1" applyAlignment="1" applyProtection="1">
      <alignment vertical="center"/>
      <protection locked="0"/>
    </xf>
    <xf numFmtId="173" fontId="16" fillId="0" borderId="74" xfId="0" applyNumberFormat="1" applyFont="1" applyBorder="1" applyAlignment="1" applyProtection="1">
      <alignment horizontal="center" vertical="center"/>
      <protection locked="0"/>
    </xf>
    <xf numFmtId="0" fontId="16" fillId="0" borderId="61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73" fontId="16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right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73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173" fontId="42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  <protection locked="0"/>
    </xf>
    <xf numFmtId="14" fontId="26" fillId="0" borderId="0" xfId="0" applyNumberFormat="1" applyFont="1" applyBorder="1" applyAlignment="1" applyProtection="1">
      <alignment horizontal="left" vertical="center"/>
      <protection locked="0"/>
    </xf>
    <xf numFmtId="14" fontId="24" fillId="0" borderId="0" xfId="0" applyNumberFormat="1" applyFont="1" applyBorder="1" applyAlignment="1" applyProtection="1">
      <alignment horizontal="left" vertical="center"/>
      <protection locked="0"/>
    </xf>
    <xf numFmtId="173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73" fontId="23" fillId="0" borderId="0" xfId="0" applyNumberFormat="1" applyFont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hidden="1" locked="0"/>
    </xf>
    <xf numFmtId="173" fontId="11" fillId="0" borderId="49" xfId="0" applyNumberFormat="1" applyFont="1" applyBorder="1" applyAlignment="1" applyProtection="1">
      <alignment horizontal="center" vertical="center"/>
      <protection locked="0"/>
    </xf>
    <xf numFmtId="173" fontId="11" fillId="0" borderId="43" xfId="0" applyNumberFormat="1" applyFont="1" applyBorder="1" applyAlignment="1" applyProtection="1">
      <alignment horizontal="center" vertical="center"/>
      <protection locked="0"/>
    </xf>
    <xf numFmtId="173" fontId="11" fillId="0" borderId="36" xfId="0" applyNumberFormat="1" applyFont="1" applyBorder="1" applyAlignment="1" applyProtection="1">
      <alignment horizontal="center" vertical="center"/>
      <protection locked="0"/>
    </xf>
    <xf numFmtId="173" fontId="14" fillId="0" borderId="22" xfId="0" applyNumberFormat="1" applyFont="1" applyBorder="1" applyAlignment="1" applyProtection="1">
      <alignment horizontal="center" vertical="center"/>
      <protection locked="0"/>
    </xf>
    <xf numFmtId="173" fontId="14" fillId="0" borderId="27" xfId="0" applyNumberFormat="1" applyFont="1" applyBorder="1" applyAlignment="1" applyProtection="1">
      <alignment horizontal="center" vertical="center"/>
      <protection locked="0"/>
    </xf>
    <xf numFmtId="173" fontId="14" fillId="0" borderId="0" xfId="0" applyNumberFormat="1" applyFont="1" applyBorder="1" applyAlignment="1" applyProtection="1">
      <alignment horizontal="center" vertical="center"/>
      <protection locked="0"/>
    </xf>
    <xf numFmtId="173" fontId="44" fillId="0" borderId="0" xfId="0" applyNumberFormat="1" applyFont="1" applyBorder="1" applyAlignment="1" applyProtection="1">
      <alignment horizontal="center" vertical="center" wrapText="1"/>
      <protection hidden="1" locked="0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hidden="1" locked="0"/>
    </xf>
    <xf numFmtId="0" fontId="14" fillId="0" borderId="12" xfId="0" applyFont="1" applyBorder="1" applyAlignment="1" applyProtection="1">
      <alignment horizontal="center" vertical="center"/>
      <protection hidden="1" locked="0"/>
    </xf>
    <xf numFmtId="173" fontId="14" fillId="0" borderId="31" xfId="0" applyNumberFormat="1" applyFont="1" applyFill="1" applyBorder="1" applyAlignment="1" applyProtection="1">
      <alignment horizontal="center" vertical="center"/>
      <protection hidden="1" locked="0"/>
    </xf>
    <xf numFmtId="173" fontId="14" fillId="0" borderId="33" xfId="0" applyNumberFormat="1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locked="0"/>
    </xf>
    <xf numFmtId="1" fontId="12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1" fontId="12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1" fontId="12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right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0" borderId="31" xfId="0" applyNumberFormat="1" applyFont="1" applyBorder="1" applyAlignment="1" applyProtection="1">
      <alignment horizontal="center" vertical="center"/>
      <protection locked="0"/>
    </xf>
    <xf numFmtId="1" fontId="12" fillId="0" borderId="33" xfId="0" applyNumberFormat="1" applyFont="1" applyBorder="1" applyAlignment="1" applyProtection="1">
      <alignment horizontal="center" vertical="center"/>
      <protection locked="0"/>
    </xf>
    <xf numFmtId="1" fontId="11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8" xfId="0" applyFont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73" fontId="12" fillId="0" borderId="20" xfId="0" applyNumberFormat="1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73" fontId="12" fillId="0" borderId="22" xfId="0" applyNumberFormat="1" applyFont="1" applyBorder="1" applyAlignment="1" applyProtection="1">
      <alignment horizontal="right" vertical="center"/>
      <protection locked="0"/>
    </xf>
    <xf numFmtId="173" fontId="12" fillId="0" borderId="11" xfId="0" applyNumberFormat="1" applyFont="1" applyBorder="1" applyAlignment="1" applyProtection="1">
      <alignment horizontal="center" vertical="center"/>
      <protection locked="0"/>
    </xf>
    <xf numFmtId="173" fontId="12" fillId="0" borderId="22" xfId="0" applyNumberFormat="1" applyFont="1" applyBorder="1" applyAlignment="1" applyProtection="1">
      <alignment horizontal="center" vertical="center"/>
      <protection locked="0"/>
    </xf>
    <xf numFmtId="173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173" fontId="12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center" vertical="center"/>
    </xf>
    <xf numFmtId="173" fontId="49" fillId="0" borderId="50" xfId="0" applyNumberFormat="1" applyFont="1" applyFill="1" applyBorder="1" applyAlignment="1" applyProtection="1">
      <alignment horizontal="center" vertical="center"/>
      <protection locked="0"/>
    </xf>
    <xf numFmtId="0" fontId="49" fillId="0" borderId="49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37" fillId="0" borderId="58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173" fontId="49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59" xfId="0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173" fontId="49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61" xfId="0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173" fontId="49" fillId="0" borderId="27" xfId="0" applyNumberFormat="1" applyFont="1" applyFill="1" applyBorder="1" applyAlignment="1" applyProtection="1">
      <alignment horizontal="center" vertical="center"/>
      <protection locked="0"/>
    </xf>
    <xf numFmtId="173" fontId="49" fillId="0" borderId="36" xfId="0" applyNumberFormat="1" applyFont="1" applyFill="1" applyBorder="1" applyAlignment="1" applyProtection="1">
      <alignment horizontal="center" vertical="center"/>
      <protection locked="0"/>
    </xf>
    <xf numFmtId="173" fontId="49" fillId="0" borderId="37" xfId="0" applyNumberFormat="1" applyFont="1" applyFill="1" applyBorder="1" applyAlignment="1" applyProtection="1">
      <alignment horizontal="center" vertical="center"/>
      <protection locked="0"/>
    </xf>
    <xf numFmtId="1" fontId="49" fillId="0" borderId="37" xfId="0" applyNumberFormat="1" applyFont="1" applyFill="1" applyBorder="1" applyAlignment="1" applyProtection="1">
      <alignment horizontal="center" vertical="center"/>
      <protection locked="0"/>
    </xf>
    <xf numFmtId="1" fontId="49" fillId="0" borderId="50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vertical="center"/>
      <protection locked="0"/>
    </xf>
    <xf numFmtId="173" fontId="49" fillId="0" borderId="36" xfId="0" applyNumberFormat="1" applyFont="1" applyFill="1" applyBorder="1" applyAlignment="1" applyProtection="1">
      <alignment horizontal="center" vertical="center"/>
      <protection locked="0"/>
    </xf>
    <xf numFmtId="173" fontId="49" fillId="0" borderId="37" xfId="0" applyNumberFormat="1" applyFont="1" applyFill="1" applyBorder="1" applyAlignment="1" applyProtection="1">
      <alignment horizontal="center" vertical="center"/>
      <protection locked="0"/>
    </xf>
    <xf numFmtId="1" fontId="49" fillId="0" borderId="36" xfId="0" applyNumberFormat="1" applyFont="1" applyFill="1" applyBorder="1" applyAlignment="1" applyProtection="1">
      <alignment horizontal="center" vertical="center"/>
      <protection locked="0"/>
    </xf>
    <xf numFmtId="1" fontId="49" fillId="0" borderId="31" xfId="0" applyNumberFormat="1" applyFont="1" applyFill="1" applyBorder="1" applyAlignment="1" applyProtection="1">
      <alignment horizontal="center" vertical="center"/>
      <protection locked="0"/>
    </xf>
    <xf numFmtId="1" fontId="49" fillId="0" borderId="47" xfId="0" applyNumberFormat="1" applyFont="1" applyFill="1" applyBorder="1" applyAlignment="1" applyProtection="1">
      <alignment horizontal="center" vertical="center"/>
      <protection locked="0"/>
    </xf>
    <xf numFmtId="0" fontId="49" fillId="0" borderId="50" xfId="0" applyFont="1" applyFill="1" applyBorder="1" applyAlignment="1">
      <alignment horizontal="center" vertical="center"/>
    </xf>
    <xf numFmtId="0" fontId="17" fillId="0" borderId="75" xfId="0" applyFont="1" applyBorder="1" applyAlignment="1" applyProtection="1">
      <alignment horizontal="left" vertical="center" shrinkToFit="1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173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173" fontId="14" fillId="0" borderId="31" xfId="0" applyNumberFormat="1" applyFont="1" applyFill="1" applyBorder="1" applyAlignment="1" applyProtection="1">
      <alignment horizontal="center" vertical="center"/>
      <protection locked="0"/>
    </xf>
    <xf numFmtId="1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1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173" fontId="10" fillId="0" borderId="40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73" fontId="12" fillId="0" borderId="0" xfId="0" applyNumberFormat="1" applyFont="1" applyBorder="1" applyAlignment="1" applyProtection="1">
      <alignment horizontal="center" vertical="center"/>
      <protection hidden="1" locked="0"/>
    </xf>
    <xf numFmtId="0" fontId="8" fillId="0" borderId="60" xfId="0" applyFont="1" applyBorder="1" applyAlignment="1" applyProtection="1">
      <alignment horizontal="center" vertical="center"/>
      <protection hidden="1" locked="0"/>
    </xf>
    <xf numFmtId="0" fontId="8" fillId="0" borderId="18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14" fillId="0" borderId="53" xfId="0" applyFont="1" applyBorder="1" applyAlignment="1" applyProtection="1">
      <alignment vertical="center"/>
      <protection hidden="1" locked="0"/>
    </xf>
    <xf numFmtId="0" fontId="54" fillId="0" borderId="53" xfId="0" applyFont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hidden="1" locked="0"/>
    </xf>
    <xf numFmtId="0" fontId="14" fillId="0" borderId="0" xfId="0" applyFont="1" applyBorder="1" applyAlignment="1" applyProtection="1">
      <alignment vertical="center"/>
      <protection hidden="1" locked="0"/>
    </xf>
    <xf numFmtId="0" fontId="54" fillId="0" borderId="0" xfId="0" applyFont="1" applyBorder="1" applyAlignment="1" applyProtection="1">
      <alignment vertical="center"/>
      <protection hidden="1" locked="0"/>
    </xf>
    <xf numFmtId="0" fontId="12" fillId="0" borderId="0" xfId="0" applyNumberFormat="1" applyFont="1" applyBorder="1" applyAlignment="1" applyProtection="1">
      <alignment vertical="center"/>
      <protection hidden="1" locked="0"/>
    </xf>
    <xf numFmtId="0" fontId="12" fillId="0" borderId="0" xfId="0" applyNumberFormat="1" applyFont="1" applyBorder="1" applyAlignment="1" applyProtection="1">
      <alignment vertical="center" wrapText="1"/>
      <protection hidden="1" locked="0"/>
    </xf>
    <xf numFmtId="0" fontId="14" fillId="0" borderId="64" xfId="42" applyFont="1" applyBorder="1" applyAlignment="1" applyProtection="1">
      <alignment horizontal="left" vertical="center"/>
      <protection hidden="1" locked="0"/>
    </xf>
    <xf numFmtId="0" fontId="3" fillId="0" borderId="64" xfId="42" applyFont="1" applyBorder="1" applyAlignment="1" applyProtection="1">
      <alignment horizontal="left" vertical="center"/>
      <protection hidden="1" locked="0"/>
    </xf>
    <xf numFmtId="0" fontId="12" fillId="0" borderId="64" xfId="0" applyNumberFormat="1" applyFont="1" applyBorder="1" applyAlignment="1" applyProtection="1">
      <alignment horizontal="left" vertical="center"/>
      <protection hidden="1" locked="0"/>
    </xf>
    <xf numFmtId="0" fontId="54" fillId="0" borderId="64" xfId="0" applyNumberFormat="1" applyFont="1" applyBorder="1" applyAlignment="1" applyProtection="1">
      <alignment horizontal="left" vertical="center"/>
      <protection hidden="1" locked="0"/>
    </xf>
    <xf numFmtId="173" fontId="54" fillId="0" borderId="64" xfId="0" applyNumberFormat="1" applyFont="1" applyBorder="1" applyAlignment="1" applyProtection="1">
      <alignment horizontal="left" vertical="center"/>
      <protection hidden="1" locked="0"/>
    </xf>
    <xf numFmtId="173" fontId="14" fillId="0" borderId="0" xfId="0" applyNumberFormat="1" applyFont="1" applyBorder="1" applyAlignment="1" applyProtection="1">
      <alignment horizontal="center" vertical="center"/>
      <protection hidden="1" locked="0"/>
    </xf>
    <xf numFmtId="173" fontId="9" fillId="0" borderId="0" xfId="0" applyNumberFormat="1" applyFont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vertical="center"/>
      <protection hidden="1" locked="0"/>
    </xf>
    <xf numFmtId="173" fontId="8" fillId="0" borderId="0" xfId="0" applyNumberFormat="1" applyFont="1" applyBorder="1" applyAlignment="1" applyProtection="1">
      <alignment horizontal="center" vertical="center"/>
      <protection hidden="1" locked="0"/>
    </xf>
    <xf numFmtId="173" fontId="4" fillId="0" borderId="0" xfId="0" applyNumberFormat="1" applyFont="1" applyBorder="1" applyAlignment="1" applyProtection="1">
      <alignment horizontal="left" vertical="center"/>
      <protection hidden="1" locked="0"/>
    </xf>
    <xf numFmtId="0" fontId="8" fillId="0" borderId="0" xfId="0" applyNumberFormat="1" applyFont="1" applyBorder="1" applyAlignment="1" applyProtection="1">
      <alignment horizontal="center" vertical="center"/>
      <protection hidden="1" locked="0"/>
    </xf>
    <xf numFmtId="173" fontId="8" fillId="0" borderId="4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55" xfId="0" applyFont="1" applyBorder="1" applyAlignment="1" applyProtection="1">
      <alignment horizontal="center" vertical="center"/>
      <protection hidden="1" locked="0"/>
    </xf>
    <xf numFmtId="0" fontId="8" fillId="0" borderId="76" xfId="0" applyFont="1" applyBorder="1" applyAlignment="1" applyProtection="1">
      <alignment horizontal="center" vertical="center"/>
      <protection hidden="1" locked="0"/>
    </xf>
    <xf numFmtId="173" fontId="8" fillId="0" borderId="41" xfId="0" applyNumberFormat="1" applyFont="1" applyBorder="1" applyAlignment="1" applyProtection="1">
      <alignment horizontal="center" vertical="center"/>
      <protection hidden="1" locked="0"/>
    </xf>
    <xf numFmtId="173" fontId="8" fillId="0" borderId="34" xfId="0" applyNumberFormat="1" applyFont="1" applyBorder="1" applyAlignment="1" applyProtection="1">
      <alignment horizontal="center" vertical="center"/>
      <protection hidden="1" locked="0"/>
    </xf>
    <xf numFmtId="0" fontId="8" fillId="0" borderId="14" xfId="0" applyNumberFormat="1" applyFont="1" applyBorder="1" applyAlignment="1" applyProtection="1">
      <alignment horizontal="center" vertical="center"/>
      <protection hidden="1" locked="0"/>
    </xf>
    <xf numFmtId="173" fontId="8" fillId="0" borderId="77" xfId="43" applyNumberFormat="1" applyFont="1" applyBorder="1" applyAlignment="1">
      <alignment horizontal="left" vertical="center"/>
    </xf>
    <xf numFmtId="0" fontId="14" fillId="0" borderId="19" xfId="0" applyFont="1" applyBorder="1" applyAlignment="1" applyProtection="1">
      <alignment horizontal="left" vertical="center"/>
      <protection hidden="1" locked="0"/>
    </xf>
    <xf numFmtId="0" fontId="14" fillId="0" borderId="57" xfId="0" applyFont="1" applyBorder="1" applyAlignment="1" applyProtection="1">
      <alignment horizontal="left" vertical="center"/>
      <protection hidden="1" locked="0"/>
    </xf>
    <xf numFmtId="1" fontId="14" fillId="0" borderId="10" xfId="0" applyNumberFormat="1" applyFont="1" applyBorder="1" applyAlignment="1" applyProtection="1">
      <alignment horizontal="center" vertical="center"/>
      <protection hidden="1" locked="0"/>
    </xf>
    <xf numFmtId="0" fontId="14" fillId="24" borderId="39" xfId="0" applyFont="1" applyFill="1" applyBorder="1" applyAlignment="1" applyProtection="1">
      <alignment horizontal="left" vertical="center"/>
      <protection hidden="1" locked="0"/>
    </xf>
    <xf numFmtId="0" fontId="14" fillId="24" borderId="78" xfId="0" applyFont="1" applyFill="1" applyBorder="1" applyAlignment="1" applyProtection="1">
      <alignment horizontal="center" vertical="center"/>
      <protection hidden="1" locked="0"/>
    </xf>
    <xf numFmtId="0" fontId="14" fillId="24" borderId="14" xfId="0" applyNumberFormat="1" applyFont="1" applyFill="1" applyBorder="1" applyAlignment="1" applyProtection="1">
      <alignment horizontal="center" vertical="center"/>
      <protection hidden="1" locked="0"/>
    </xf>
    <xf numFmtId="173" fontId="14" fillId="24" borderId="34" xfId="0" applyNumberFormat="1" applyFont="1" applyFill="1" applyBorder="1" applyAlignment="1" applyProtection="1">
      <alignment horizontal="center" vertical="center"/>
      <protection hidden="1" locked="0"/>
    </xf>
    <xf numFmtId="173" fontId="14" fillId="24" borderId="19" xfId="43" applyNumberFormat="1" applyFont="1" applyFill="1" applyBorder="1" applyAlignment="1">
      <alignment horizontal="left" vertical="center"/>
    </xf>
    <xf numFmtId="41" fontId="14" fillId="24" borderId="65" xfId="43" applyNumberFormat="1" applyFont="1" applyFill="1" applyBorder="1" applyAlignment="1" applyProtection="1">
      <alignment horizontal="centerContinuous" vertical="center"/>
      <protection hidden="1" locked="0"/>
    </xf>
    <xf numFmtId="173" fontId="14" fillId="24" borderId="57" xfId="43" applyNumberFormat="1" applyFont="1" applyFill="1" applyBorder="1" applyAlignment="1">
      <alignment horizontal="right" vertical="center"/>
    </xf>
    <xf numFmtId="0" fontId="14" fillId="0" borderId="36" xfId="43" applyNumberFormat="1" applyFont="1" applyFill="1" applyBorder="1" applyAlignment="1">
      <alignment horizontal="left" vertical="center" indent="2"/>
    </xf>
    <xf numFmtId="0" fontId="14" fillId="0" borderId="15" xfId="43" applyNumberFormat="1" applyFont="1" applyFill="1" applyBorder="1" applyAlignment="1">
      <alignment horizontal="left" vertical="center" indent="2"/>
    </xf>
    <xf numFmtId="173" fontId="8" fillId="0" borderId="79" xfId="43" applyNumberFormat="1" applyFont="1" applyBorder="1" applyAlignment="1">
      <alignment horizontal="left" vertical="center"/>
    </xf>
    <xf numFmtId="173" fontId="55" fillId="0" borderId="0" xfId="43" applyNumberFormat="1" applyFont="1" applyBorder="1" applyAlignment="1">
      <alignment horizontal="left" vertical="center"/>
    </xf>
    <xf numFmtId="0" fontId="14" fillId="0" borderId="21" xfId="0" applyFont="1" applyBorder="1" applyAlignment="1" applyProtection="1">
      <alignment horizontal="left" vertical="center"/>
      <protection hidden="1" locked="0"/>
    </xf>
    <xf numFmtId="0" fontId="14" fillId="0" borderId="15" xfId="0" applyFont="1" applyBorder="1" applyAlignment="1" applyProtection="1">
      <alignment vertical="center"/>
      <protection hidden="1" locked="0"/>
    </xf>
    <xf numFmtId="1" fontId="14" fillId="0" borderId="11" xfId="0" applyNumberFormat="1" applyFont="1" applyBorder="1" applyAlignment="1" applyProtection="1">
      <alignment horizontal="center" vertical="center"/>
      <protection hidden="1" locked="0"/>
    </xf>
    <xf numFmtId="1" fontId="14" fillId="0" borderId="17" xfId="0" applyNumberFormat="1" applyFont="1" applyFill="1" applyBorder="1" applyAlignment="1">
      <alignment horizontal="left" vertical="center"/>
    </xf>
    <xf numFmtId="1" fontId="14" fillId="0" borderId="78" xfId="43" applyNumberFormat="1" applyFont="1" applyFill="1" applyBorder="1" applyAlignment="1" applyProtection="1">
      <alignment horizontal="centerContinuous" vertical="center"/>
      <protection hidden="1" locked="0"/>
    </xf>
    <xf numFmtId="0" fontId="14" fillId="0" borderId="80" xfId="43" applyNumberFormat="1" applyFont="1" applyFill="1" applyBorder="1" applyAlignment="1">
      <alignment horizontal="left" vertical="center"/>
    </xf>
    <xf numFmtId="0" fontId="14" fillId="0" borderId="60" xfId="43" applyNumberFormat="1" applyFont="1" applyFill="1" applyBorder="1" applyAlignment="1">
      <alignment horizontal="left" vertical="center"/>
    </xf>
    <xf numFmtId="0" fontId="14" fillId="0" borderId="21" xfId="43" applyNumberFormat="1" applyFont="1" applyFill="1" applyBorder="1" applyAlignment="1">
      <alignment horizontal="left" vertical="center"/>
    </xf>
    <xf numFmtId="0" fontId="14" fillId="0" borderId="45" xfId="0" applyNumberFormat="1" applyFont="1" applyFill="1" applyBorder="1" applyAlignment="1" applyProtection="1">
      <alignment horizontal="left" vertical="center"/>
      <protection hidden="1" locked="0"/>
    </xf>
    <xf numFmtId="0" fontId="14" fillId="0" borderId="15" xfId="43" applyNumberFormat="1" applyFont="1" applyFill="1" applyBorder="1" applyAlignment="1">
      <alignment horizontal="left" vertical="center"/>
    </xf>
    <xf numFmtId="0" fontId="14" fillId="0" borderId="37" xfId="43" applyNumberFormat="1" applyFont="1" applyFill="1" applyBorder="1" applyAlignment="1">
      <alignment horizontal="left" vertical="center" indent="2"/>
    </xf>
    <xf numFmtId="173" fontId="8" fillId="0" borderId="79" xfId="43" applyNumberFormat="1" applyFont="1" applyFill="1" applyBorder="1" applyAlignment="1">
      <alignment horizontal="left" vertical="center"/>
    </xf>
    <xf numFmtId="0" fontId="14" fillId="0" borderId="15" xfId="0" applyFont="1" applyBorder="1" applyAlignment="1" applyProtection="1">
      <alignment horizontal="left" vertical="center"/>
      <protection hidden="1" locked="0"/>
    </xf>
    <xf numFmtId="1" fontId="14" fillId="0" borderId="75" xfId="43" applyNumberFormat="1" applyFont="1" applyFill="1" applyBorder="1" applyAlignment="1">
      <alignment horizontal="left" vertical="center"/>
    </xf>
    <xf numFmtId="1" fontId="14" fillId="0" borderId="44" xfId="43" applyNumberFormat="1" applyFont="1" applyFill="1" applyBorder="1" applyAlignment="1" applyProtection="1">
      <alignment horizontal="centerContinuous" vertical="center"/>
      <protection hidden="1" locked="0"/>
    </xf>
    <xf numFmtId="0" fontId="14" fillId="0" borderId="19" xfId="43" applyNumberFormat="1" applyFont="1" applyFill="1" applyBorder="1" applyAlignment="1">
      <alignment horizontal="left" vertical="center"/>
    </xf>
    <xf numFmtId="0" fontId="14" fillId="0" borderId="35" xfId="43" applyNumberFormat="1" applyFont="1" applyFill="1" applyBorder="1" applyAlignment="1">
      <alignment horizontal="left" vertical="center"/>
    </xf>
    <xf numFmtId="1" fontId="14" fillId="0" borderId="28" xfId="43" applyNumberFormat="1" applyFont="1" applyFill="1" applyBorder="1" applyAlignment="1">
      <alignment horizontal="left" vertical="center"/>
    </xf>
    <xf numFmtId="1" fontId="14" fillId="0" borderId="51" xfId="43" applyNumberFormat="1" applyFont="1" applyFill="1" applyBorder="1" applyAlignment="1" applyProtection="1">
      <alignment horizontal="centerContinuous" vertical="center"/>
      <protection hidden="1" locked="0"/>
    </xf>
    <xf numFmtId="0" fontId="14" fillId="0" borderId="32" xfId="43" applyNumberFormat="1" applyFont="1" applyFill="1" applyBorder="1" applyAlignment="1">
      <alignment horizontal="left" vertical="center"/>
    </xf>
    <xf numFmtId="0" fontId="14" fillId="0" borderId="57" xfId="43" applyNumberFormat="1" applyFont="1" applyFill="1" applyBorder="1" applyAlignment="1">
      <alignment horizontal="left" vertical="center"/>
    </xf>
    <xf numFmtId="1" fontId="14" fillId="0" borderId="19" xfId="43" applyNumberFormat="1" applyFont="1" applyFill="1" applyBorder="1" applyAlignment="1">
      <alignment horizontal="left" vertical="center"/>
    </xf>
    <xf numFmtId="1" fontId="14" fillId="0" borderId="65" xfId="43" applyNumberFormat="1" applyFont="1" applyFill="1" applyBorder="1" applyAlignment="1" applyProtection="1">
      <alignment horizontal="centerContinuous" vertical="center"/>
      <protection hidden="1" locked="0"/>
    </xf>
    <xf numFmtId="0" fontId="14" fillId="0" borderId="19" xfId="43" applyNumberFormat="1" applyFont="1" applyFill="1" applyBorder="1" applyAlignment="1">
      <alignment horizontal="left" vertical="center" indent="2"/>
    </xf>
    <xf numFmtId="1" fontId="14" fillId="0" borderId="21" xfId="43" applyNumberFormat="1" applyFont="1" applyFill="1" applyBorder="1" applyAlignment="1">
      <alignment horizontal="left" vertical="center"/>
    </xf>
    <xf numFmtId="1" fontId="14" fillId="0" borderId="45" xfId="43" applyNumberFormat="1" applyFont="1" applyFill="1" applyBorder="1" applyAlignment="1" applyProtection="1">
      <alignment horizontal="centerContinuous" vertical="center"/>
      <protection hidden="1" locked="0"/>
    </xf>
    <xf numFmtId="0" fontId="14" fillId="0" borderId="21" xfId="43" applyNumberFormat="1" applyFont="1" applyFill="1" applyBorder="1" applyAlignment="1">
      <alignment horizontal="left" vertical="center" indent="2"/>
    </xf>
    <xf numFmtId="0" fontId="14" fillId="0" borderId="37" xfId="43" applyNumberFormat="1" applyFont="1" applyFill="1" applyBorder="1" applyAlignment="1">
      <alignment horizontal="left" vertical="center"/>
    </xf>
    <xf numFmtId="0" fontId="14" fillId="0" borderId="63" xfId="43" applyNumberFormat="1" applyFont="1" applyFill="1" applyBorder="1" applyAlignment="1">
      <alignment horizontal="left" vertical="center" indent="2"/>
    </xf>
    <xf numFmtId="173" fontId="8" fillId="0" borderId="81" xfId="43" applyNumberFormat="1" applyFont="1" applyFill="1" applyBorder="1" applyAlignment="1">
      <alignment horizontal="left" vertical="center"/>
    </xf>
    <xf numFmtId="0" fontId="14" fillId="0" borderId="51" xfId="0" applyNumberFormat="1" applyFont="1" applyFill="1" applyBorder="1" applyAlignment="1" applyProtection="1">
      <alignment horizontal="left" vertical="center"/>
      <protection hidden="1" locked="0"/>
    </xf>
    <xf numFmtId="0" fontId="14" fillId="0" borderId="50" xfId="43" applyNumberFormat="1" applyFont="1" applyFill="1" applyBorder="1" applyAlignment="1">
      <alignment horizontal="left" vertical="center" indent="2"/>
    </xf>
    <xf numFmtId="0" fontId="14" fillId="0" borderId="0" xfId="43" applyNumberFormat="1" applyFont="1" applyFill="1" applyBorder="1" applyAlignment="1">
      <alignment horizontal="left" vertical="center" indent="2"/>
    </xf>
    <xf numFmtId="173" fontId="8" fillId="0" borderId="77" xfId="0" applyNumberFormat="1" applyFont="1" applyFill="1" applyBorder="1" applyAlignment="1">
      <alignment horizontal="left" vertical="center"/>
    </xf>
    <xf numFmtId="1" fontId="14" fillId="0" borderId="32" xfId="43" applyNumberFormat="1" applyFont="1" applyFill="1" applyBorder="1" applyAlignment="1">
      <alignment horizontal="left" vertical="center"/>
    </xf>
    <xf numFmtId="0" fontId="14" fillId="0" borderId="32" xfId="43" applyNumberFormat="1" applyFont="1" applyFill="1" applyBorder="1" applyAlignment="1">
      <alignment horizontal="left" vertical="center" indent="2"/>
    </xf>
    <xf numFmtId="0" fontId="14" fillId="0" borderId="19" xfId="0" applyNumberFormat="1" applyFont="1" applyFill="1" applyBorder="1" applyAlignment="1">
      <alignment horizontal="left" vertical="center"/>
    </xf>
    <xf numFmtId="0" fontId="14" fillId="0" borderId="57" xfId="0" applyNumberFormat="1" applyFont="1" applyFill="1" applyBorder="1" applyAlignment="1" applyProtection="1">
      <alignment horizontal="left" vertical="center"/>
      <protection hidden="1" locked="0"/>
    </xf>
    <xf numFmtId="0" fontId="14" fillId="0" borderId="82" xfId="43" applyNumberFormat="1" applyFont="1" applyFill="1" applyBorder="1" applyAlignment="1">
      <alignment horizontal="left" vertical="center" indent="2"/>
    </xf>
    <xf numFmtId="0" fontId="14" fillId="0" borderId="15" xfId="0" applyFont="1" applyBorder="1" applyAlignment="1">
      <alignment horizontal="left" vertical="center"/>
    </xf>
    <xf numFmtId="0" fontId="14" fillId="0" borderId="36" xfId="43" applyNumberFormat="1" applyFont="1" applyFill="1" applyBorder="1" applyAlignment="1">
      <alignment horizontal="left" vertical="center"/>
    </xf>
    <xf numFmtId="0" fontId="14" fillId="0" borderId="15" xfId="0" applyNumberFormat="1" applyFont="1" applyFill="1" applyBorder="1" applyAlignment="1" applyProtection="1">
      <alignment horizontal="left" vertical="center"/>
      <protection hidden="1" locked="0"/>
    </xf>
    <xf numFmtId="0" fontId="14" fillId="0" borderId="21" xfId="0" applyFont="1" applyBorder="1" applyAlignment="1" applyProtection="1">
      <alignment vertical="center"/>
      <protection hidden="1" locked="0"/>
    </xf>
    <xf numFmtId="0" fontId="14" fillId="0" borderId="63" xfId="0" applyNumberFormat="1" applyFont="1" applyFill="1" applyBorder="1" applyAlignment="1" applyProtection="1">
      <alignment horizontal="left" vertical="center"/>
      <protection hidden="1" locked="0"/>
    </xf>
    <xf numFmtId="0" fontId="14" fillId="0" borderId="63" xfId="43" applyNumberFormat="1" applyFont="1" applyFill="1" applyBorder="1" applyAlignment="1">
      <alignment horizontal="left" vertical="center"/>
    </xf>
    <xf numFmtId="173" fontId="8" fillId="0" borderId="83" xfId="43" applyNumberFormat="1" applyFont="1" applyFill="1" applyBorder="1" applyAlignment="1">
      <alignment horizontal="left" vertical="center"/>
    </xf>
    <xf numFmtId="0" fontId="14" fillId="0" borderId="65" xfId="0" applyNumberFormat="1" applyFont="1" applyFill="1" applyBorder="1" applyAlignment="1" applyProtection="1">
      <alignment horizontal="left" vertical="center"/>
      <protection hidden="1" locked="0"/>
    </xf>
    <xf numFmtId="0" fontId="14" fillId="0" borderId="50" xfId="43" applyNumberFormat="1" applyFont="1" applyFill="1" applyBorder="1" applyAlignment="1">
      <alignment horizontal="left" vertical="center"/>
    </xf>
    <xf numFmtId="173" fontId="14" fillId="0" borderId="36" xfId="43" applyNumberFormat="1" applyFont="1" applyFill="1" applyBorder="1" applyAlignment="1">
      <alignment horizontal="left" vertical="center" indent="2"/>
    </xf>
    <xf numFmtId="173" fontId="14" fillId="0" borderId="82" xfId="43" applyNumberFormat="1" applyFont="1" applyFill="1" applyBorder="1" applyAlignment="1">
      <alignment horizontal="left" vertical="center" indent="2"/>
    </xf>
    <xf numFmtId="173" fontId="14" fillId="0" borderId="37" xfId="43" applyNumberFormat="1" applyFont="1" applyFill="1" applyBorder="1" applyAlignment="1">
      <alignment horizontal="left" vertical="center" indent="2"/>
    </xf>
    <xf numFmtId="173" fontId="14" fillId="0" borderId="15" xfId="43" applyNumberFormat="1" applyFont="1" applyFill="1" applyBorder="1" applyAlignment="1">
      <alignment horizontal="left" vertical="center" indent="2"/>
    </xf>
    <xf numFmtId="1" fontId="14" fillId="0" borderId="21" xfId="0" applyNumberFormat="1" applyFont="1" applyFill="1" applyBorder="1" applyAlignment="1">
      <alignment horizontal="left" vertical="center"/>
    </xf>
    <xf numFmtId="173" fontId="14" fillId="0" borderId="63" xfId="43" applyNumberFormat="1" applyFont="1" applyFill="1" applyBorder="1" applyAlignment="1">
      <alignment horizontal="left" vertical="center" indent="2"/>
    </xf>
    <xf numFmtId="1" fontId="14" fillId="0" borderId="32" xfId="0" applyNumberFormat="1" applyFont="1" applyFill="1" applyBorder="1" applyAlignment="1">
      <alignment horizontal="left" vertical="center"/>
    </xf>
    <xf numFmtId="0" fontId="14" fillId="0" borderId="35" xfId="0" applyNumberFormat="1" applyFont="1" applyFill="1" applyBorder="1" applyAlignment="1" applyProtection="1">
      <alignment horizontal="left" vertical="center"/>
      <protection hidden="1" locked="0"/>
    </xf>
    <xf numFmtId="1" fontId="14" fillId="0" borderId="19" xfId="0" applyNumberFormat="1" applyFont="1" applyFill="1" applyBorder="1" applyAlignment="1">
      <alignment horizontal="left" vertical="center"/>
    </xf>
    <xf numFmtId="173" fontId="8" fillId="0" borderId="81" xfId="0" applyNumberFormat="1" applyFont="1" applyFill="1" applyBorder="1" applyAlignment="1">
      <alignment horizontal="left" vertical="center"/>
    </xf>
    <xf numFmtId="0" fontId="14" fillId="0" borderId="32" xfId="0" applyFont="1" applyBorder="1" applyAlignment="1" applyProtection="1">
      <alignment horizontal="left" vertical="center"/>
      <protection hidden="1" locked="0"/>
    </xf>
    <xf numFmtId="0" fontId="14" fillId="0" borderId="35" xfId="0" applyFont="1" applyBorder="1" applyAlignment="1" applyProtection="1">
      <alignment horizontal="left" vertical="center"/>
      <protection hidden="1" locked="0"/>
    </xf>
    <xf numFmtId="1" fontId="14" fillId="0" borderId="12" xfId="0" applyNumberFormat="1" applyFont="1" applyBorder="1" applyAlignment="1" applyProtection="1">
      <alignment horizontal="center" vertical="center"/>
      <protection hidden="1" locked="0"/>
    </xf>
    <xf numFmtId="0" fontId="14" fillId="0" borderId="30" xfId="43" applyNumberFormat="1" applyFont="1" applyFill="1" applyBorder="1" applyAlignment="1">
      <alignment horizontal="left" vertical="center"/>
    </xf>
    <xf numFmtId="0" fontId="14" fillId="0" borderId="32" xfId="0" applyNumberFormat="1" applyFont="1" applyFill="1" applyBorder="1" applyAlignment="1">
      <alignment horizontal="left" vertical="center"/>
    </xf>
    <xf numFmtId="173" fontId="14" fillId="0" borderId="50" xfId="43" applyNumberFormat="1" applyFont="1" applyFill="1" applyBorder="1" applyAlignment="1">
      <alignment horizontal="left" vertical="center" indent="2"/>
    </xf>
    <xf numFmtId="173" fontId="14" fillId="0" borderId="0" xfId="43" applyNumberFormat="1" applyFont="1" applyFill="1" applyBorder="1" applyAlignment="1">
      <alignment horizontal="left" vertical="center" indent="2"/>
    </xf>
    <xf numFmtId="0" fontId="14" fillId="0" borderId="31" xfId="43" applyNumberFormat="1" applyFont="1" applyFill="1" applyBorder="1" applyAlignment="1">
      <alignment horizontal="left" vertical="center"/>
    </xf>
    <xf numFmtId="0" fontId="14" fillId="0" borderId="19" xfId="0" applyFont="1" applyBorder="1" applyAlignment="1" applyProtection="1">
      <alignment vertical="center"/>
      <protection hidden="1" locked="0"/>
    </xf>
    <xf numFmtId="0" fontId="14" fillId="0" borderId="57" xfId="0" applyFont="1" applyBorder="1" applyAlignment="1" applyProtection="1">
      <alignment horizontal="center" vertical="center"/>
      <protection hidden="1" locked="0"/>
    </xf>
    <xf numFmtId="173" fontId="14" fillId="0" borderId="10" xfId="0" applyNumberFormat="1" applyFont="1" applyBorder="1" applyAlignment="1" applyProtection="1">
      <alignment horizontal="right" vertical="center"/>
      <protection hidden="1" locked="0"/>
    </xf>
    <xf numFmtId="173" fontId="12" fillId="0" borderId="30" xfId="0" applyNumberFormat="1" applyFont="1" applyBorder="1" applyAlignment="1" applyProtection="1">
      <alignment horizontal="center" vertical="center"/>
      <protection hidden="1" locked="0"/>
    </xf>
    <xf numFmtId="0" fontId="14" fillId="0" borderId="33" xfId="43" applyNumberFormat="1" applyFont="1" applyFill="1" applyBorder="1" applyAlignment="1">
      <alignment horizontal="left" vertical="center"/>
    </xf>
    <xf numFmtId="173" fontId="8" fillId="0" borderId="83" xfId="0" applyNumberFormat="1" applyFont="1" applyFill="1" applyBorder="1" applyAlignment="1">
      <alignment horizontal="left" vertical="center"/>
    </xf>
    <xf numFmtId="0" fontId="14" fillId="0" borderId="15" xfId="0" applyFont="1" applyBorder="1" applyAlignment="1" applyProtection="1">
      <alignment horizontal="center" vertical="center"/>
      <protection hidden="1" locked="0"/>
    </xf>
    <xf numFmtId="173" fontId="14" fillId="0" borderId="11" xfId="0" applyNumberFormat="1" applyFont="1" applyBorder="1" applyAlignment="1" applyProtection="1">
      <alignment horizontal="right" vertical="center"/>
      <protection hidden="1" locked="0"/>
    </xf>
    <xf numFmtId="173" fontId="12" fillId="0" borderId="31" xfId="0" applyNumberFormat="1" applyFont="1" applyBorder="1" applyAlignment="1" applyProtection="1">
      <alignment horizontal="center" vertical="center"/>
      <protection hidden="1" locked="0"/>
    </xf>
    <xf numFmtId="0" fontId="14" fillId="0" borderId="68" xfId="43" applyNumberFormat="1" applyFont="1" applyFill="1" applyBorder="1" applyAlignment="1">
      <alignment horizontal="left" vertical="center"/>
    </xf>
    <xf numFmtId="0" fontId="14" fillId="0" borderId="45" xfId="43" applyNumberFormat="1" applyFont="1" applyFill="1" applyBorder="1" applyAlignment="1">
      <alignment horizontal="left" vertical="center"/>
    </xf>
    <xf numFmtId="0" fontId="14" fillId="0" borderId="75" xfId="0" applyNumberFormat="1" applyFont="1" applyFill="1" applyBorder="1" applyAlignment="1">
      <alignment horizontal="left" vertical="center"/>
    </xf>
    <xf numFmtId="0" fontId="14" fillId="0" borderId="82" xfId="43" applyNumberFormat="1" applyFont="1" applyFill="1" applyBorder="1" applyAlignment="1">
      <alignment horizontal="left" vertical="center"/>
    </xf>
    <xf numFmtId="173" fontId="14" fillId="0" borderId="49" xfId="43" applyNumberFormat="1" applyFont="1" applyFill="1" applyBorder="1" applyAlignment="1">
      <alignment horizontal="left" vertical="center" indent="2"/>
    </xf>
    <xf numFmtId="0" fontId="14" fillId="0" borderId="69" xfId="43" applyNumberFormat="1" applyFont="1" applyFill="1" applyBorder="1" applyAlignment="1">
      <alignment horizontal="left" vertical="center"/>
    </xf>
    <xf numFmtId="0" fontId="14" fillId="0" borderId="28" xfId="43" applyNumberFormat="1" applyFont="1" applyFill="1" applyBorder="1" applyAlignment="1">
      <alignment horizontal="left" vertical="center"/>
    </xf>
    <xf numFmtId="173" fontId="14" fillId="0" borderId="47" xfId="43" applyNumberFormat="1" applyFont="1" applyFill="1" applyBorder="1" applyAlignment="1">
      <alignment horizontal="left" vertical="center" indent="2"/>
    </xf>
    <xf numFmtId="0" fontId="14" fillId="0" borderId="45" xfId="43" applyNumberFormat="1" applyFont="1" applyFill="1" applyBorder="1" applyAlignment="1">
      <alignment horizontal="center" vertical="center"/>
    </xf>
    <xf numFmtId="0" fontId="14" fillId="0" borderId="22" xfId="43" applyNumberFormat="1" applyFont="1" applyFill="1" applyBorder="1" applyAlignment="1">
      <alignment horizontal="left" vertical="center"/>
    </xf>
    <xf numFmtId="0" fontId="14" fillId="0" borderId="84" xfId="43" applyNumberFormat="1" applyFont="1" applyFill="1" applyBorder="1" applyAlignment="1">
      <alignment horizontal="left" vertical="center"/>
    </xf>
    <xf numFmtId="0" fontId="14" fillId="0" borderId="85" xfId="43" applyNumberFormat="1" applyFont="1" applyFill="1" applyBorder="1" applyAlignment="1">
      <alignment horizontal="left" vertical="center"/>
    </xf>
    <xf numFmtId="173" fontId="8" fillId="0" borderId="79" xfId="0" applyNumberFormat="1" applyFont="1" applyFill="1" applyBorder="1" applyAlignment="1">
      <alignment horizontal="left" vertical="center"/>
    </xf>
    <xf numFmtId="0" fontId="14" fillId="0" borderId="32" xfId="0" applyFont="1" applyBorder="1" applyAlignment="1" applyProtection="1">
      <alignment vertical="center"/>
      <protection hidden="1" locked="0"/>
    </xf>
    <xf numFmtId="0" fontId="14" fillId="0" borderId="35" xfId="0" applyFont="1" applyBorder="1" applyAlignment="1" applyProtection="1">
      <alignment horizontal="center" vertical="center"/>
      <protection hidden="1" locked="0"/>
    </xf>
    <xf numFmtId="173" fontId="14" fillId="0" borderId="12" xfId="0" applyNumberFormat="1" applyFont="1" applyBorder="1" applyAlignment="1" applyProtection="1">
      <alignment horizontal="right" vertical="center"/>
      <protection hidden="1" locked="0"/>
    </xf>
    <xf numFmtId="173" fontId="12" fillId="0" borderId="33" xfId="0" applyNumberFormat="1" applyFont="1" applyBorder="1" applyAlignment="1" applyProtection="1">
      <alignment horizontal="center" vertical="center"/>
      <protection hidden="1" locked="0"/>
    </xf>
    <xf numFmtId="0" fontId="14" fillId="0" borderId="0" xfId="43" applyNumberFormat="1" applyFont="1" applyFill="1" applyBorder="1" applyAlignment="1">
      <alignment horizontal="left" vertical="center"/>
    </xf>
    <xf numFmtId="0" fontId="14" fillId="0" borderId="21" xfId="0" applyNumberFormat="1" applyFont="1" applyFill="1" applyBorder="1" applyAlignment="1">
      <alignment horizontal="left" vertical="center"/>
    </xf>
    <xf numFmtId="173" fontId="8" fillId="0" borderId="86" xfId="0" applyNumberFormat="1" applyFont="1" applyFill="1" applyBorder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 hidden="1" locked="0"/>
    </xf>
    <xf numFmtId="173" fontId="7" fillId="0" borderId="0" xfId="0" applyNumberFormat="1" applyFont="1" applyBorder="1" applyAlignment="1" applyProtection="1">
      <alignment horizontal="center" vertical="center"/>
      <protection hidden="1" locked="0"/>
    </xf>
    <xf numFmtId="1" fontId="14" fillId="0" borderId="61" xfId="43" applyNumberFormat="1" applyFont="1" applyFill="1" applyBorder="1" applyAlignment="1">
      <alignment horizontal="left" vertical="center"/>
    </xf>
    <xf numFmtId="1" fontId="14" fillId="0" borderId="40" xfId="43" applyNumberFormat="1" applyFont="1" applyFill="1" applyBorder="1" applyAlignment="1" applyProtection="1">
      <alignment horizontal="center" vertical="center"/>
      <protection hidden="1" locked="0"/>
    </xf>
    <xf numFmtId="0" fontId="14" fillId="0" borderId="50" xfId="43" applyNumberFormat="1" applyFont="1" applyFill="1" applyBorder="1" applyAlignment="1">
      <alignment horizontal="right" vertical="center"/>
    </xf>
    <xf numFmtId="0" fontId="14" fillId="0" borderId="57" xfId="43" applyNumberFormat="1" applyFont="1" applyFill="1" applyBorder="1" applyAlignment="1">
      <alignment horizontal="right" vertical="center"/>
    </xf>
    <xf numFmtId="0" fontId="14" fillId="0" borderId="0" xfId="43" applyNumberFormat="1" applyFont="1" applyFill="1" applyBorder="1" applyAlignment="1">
      <alignment horizontal="right" vertical="center"/>
    </xf>
    <xf numFmtId="173" fontId="8" fillId="0" borderId="31" xfId="0" applyNumberFormat="1" applyFont="1" applyFill="1" applyBorder="1" applyAlignment="1">
      <alignment horizontal="right" vertical="center"/>
    </xf>
    <xf numFmtId="0" fontId="12" fillId="0" borderId="21" xfId="0" applyFont="1" applyBorder="1" applyAlignment="1" applyProtection="1">
      <alignment vertical="center"/>
      <protection hidden="1" locked="0"/>
    </xf>
    <xf numFmtId="0" fontId="12" fillId="0" borderId="15" xfId="0" applyFont="1" applyBorder="1" applyAlignment="1" applyProtection="1">
      <alignment horizontal="center" vertical="center"/>
      <protection hidden="1" locked="0"/>
    </xf>
    <xf numFmtId="0" fontId="12" fillId="0" borderId="11" xfId="0" applyFont="1" applyBorder="1" applyAlignment="1" applyProtection="1">
      <alignment horizontal="center" vertical="center"/>
      <protection hidden="1" locked="0"/>
    </xf>
    <xf numFmtId="0" fontId="56" fillId="0" borderId="0" xfId="0" applyNumberFormat="1" applyFont="1" applyBorder="1" applyAlignment="1">
      <alignment horizontal="center" vertical="center"/>
    </xf>
    <xf numFmtId="173" fontId="8" fillId="0" borderId="31" xfId="0" applyNumberFormat="1" applyFont="1" applyBorder="1" applyAlignment="1">
      <alignment horizontal="right" vertical="center"/>
    </xf>
    <xf numFmtId="0" fontId="8" fillId="0" borderId="0" xfId="0" applyFont="1" applyAlignment="1" applyProtection="1">
      <alignment vertical="center"/>
      <protection hidden="1" locked="0"/>
    </xf>
    <xf numFmtId="173" fontId="8" fillId="0" borderId="33" xfId="0" applyNumberFormat="1" applyFont="1" applyBorder="1" applyAlignment="1">
      <alignment horizontal="right" vertical="center"/>
    </xf>
    <xf numFmtId="0" fontId="8" fillId="0" borderId="58" xfId="0" applyNumberFormat="1" applyFont="1" applyBorder="1" applyAlignment="1">
      <alignment vertical="center"/>
    </xf>
    <xf numFmtId="0" fontId="12" fillId="0" borderId="65" xfId="0" applyNumberFormat="1" applyFont="1" applyBorder="1" applyAlignment="1">
      <alignment vertical="center"/>
    </xf>
    <xf numFmtId="173" fontId="12" fillId="0" borderId="36" xfId="0" applyNumberFormat="1" applyFont="1" applyBorder="1" applyAlignment="1">
      <alignment horizontal="center" vertical="center"/>
    </xf>
    <xf numFmtId="0" fontId="12" fillId="0" borderId="69" xfId="0" applyNumberFormat="1" applyFont="1" applyBorder="1" applyAlignment="1">
      <alignment vertical="center"/>
    </xf>
    <xf numFmtId="0" fontId="12" fillId="0" borderId="45" xfId="0" applyNumberFormat="1" applyFont="1" applyBorder="1" applyAlignment="1">
      <alignment vertical="center"/>
    </xf>
    <xf numFmtId="0" fontId="12" fillId="0" borderId="58" xfId="0" applyFont="1" applyBorder="1" applyAlignment="1" applyProtection="1">
      <alignment vertical="center"/>
      <protection hidden="1" locked="0"/>
    </xf>
    <xf numFmtId="0" fontId="12" fillId="0" borderId="65" xfId="0" applyFont="1" applyBorder="1" applyAlignment="1" applyProtection="1">
      <alignment vertical="center"/>
      <protection hidden="1" locked="0"/>
    </xf>
    <xf numFmtId="0" fontId="12" fillId="0" borderId="57" xfId="0" applyFont="1" applyBorder="1" applyAlignment="1" applyProtection="1">
      <alignment vertical="center"/>
      <protection hidden="1" locked="0"/>
    </xf>
    <xf numFmtId="173" fontId="12" fillId="0" borderId="0" xfId="0" applyNumberFormat="1" applyFont="1" applyBorder="1" applyAlignment="1">
      <alignment horizontal="center" vertical="center"/>
    </xf>
    <xf numFmtId="0" fontId="12" fillId="0" borderId="32" xfId="0" applyFont="1" applyBorder="1" applyAlignment="1" applyProtection="1">
      <alignment vertical="center"/>
      <protection hidden="1" locked="0"/>
    </xf>
    <xf numFmtId="0" fontId="12" fillId="0" borderId="35" xfId="0" applyFont="1" applyBorder="1" applyAlignment="1" applyProtection="1">
      <alignment horizontal="center" vertical="center"/>
      <protection hidden="1" locked="0"/>
    </xf>
    <xf numFmtId="0" fontId="12" fillId="0" borderId="12" xfId="0" applyFont="1" applyBorder="1" applyAlignment="1" applyProtection="1">
      <alignment horizontal="center" vertical="center"/>
      <protection hidden="1" locked="0"/>
    </xf>
    <xf numFmtId="0" fontId="12" fillId="0" borderId="59" xfId="0" applyNumberFormat="1" applyFont="1" applyBorder="1" applyAlignment="1">
      <alignment vertical="center"/>
    </xf>
    <xf numFmtId="173" fontId="12" fillId="0" borderId="37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left" vertical="center"/>
    </xf>
    <xf numFmtId="0" fontId="12" fillId="0" borderId="73" xfId="0" applyNumberFormat="1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173" fontId="12" fillId="0" borderId="47" xfId="0" applyNumberFormat="1" applyFont="1" applyBorder="1" applyAlignment="1">
      <alignment horizontal="center" vertical="center"/>
    </xf>
    <xf numFmtId="0" fontId="12" fillId="0" borderId="88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68" xfId="0" applyFont="1" applyBorder="1" applyAlignment="1" applyProtection="1">
      <alignment horizontal="center" vertical="center"/>
      <protection hidden="1" locked="0"/>
    </xf>
    <xf numFmtId="0" fontId="57" fillId="0" borderId="10" xfId="0" applyFont="1" applyBorder="1" applyAlignment="1" applyProtection="1">
      <alignment horizontal="center" vertical="center"/>
      <protection hidden="1" locked="0"/>
    </xf>
    <xf numFmtId="0" fontId="12" fillId="0" borderId="65" xfId="0" applyFont="1" applyBorder="1" applyAlignment="1" applyProtection="1">
      <alignment horizontal="center" vertical="center"/>
      <protection hidden="1" locked="0"/>
    </xf>
    <xf numFmtId="173" fontId="12" fillId="0" borderId="36" xfId="0" applyNumberFormat="1" applyFont="1" applyBorder="1" applyAlignment="1" applyProtection="1">
      <alignment horizontal="right" vertical="center"/>
      <protection hidden="1" locked="0"/>
    </xf>
    <xf numFmtId="0" fontId="14" fillId="0" borderId="0" xfId="0" applyFont="1" applyFill="1" applyBorder="1" applyAlignment="1" applyProtection="1">
      <alignment horizontal="center" vertical="center"/>
      <protection hidden="1" locked="0"/>
    </xf>
    <xf numFmtId="0" fontId="45" fillId="0" borderId="0" xfId="0" applyFont="1" applyBorder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 hidden="1" locked="0"/>
    </xf>
    <xf numFmtId="0" fontId="12" fillId="0" borderId="69" xfId="0" applyFont="1" applyBorder="1" applyAlignment="1" applyProtection="1">
      <alignment horizontal="center" vertical="center"/>
      <protection hidden="1" locked="0"/>
    </xf>
    <xf numFmtId="0" fontId="57" fillId="0" borderId="11" xfId="0" applyFont="1" applyBorder="1" applyAlignment="1" applyProtection="1">
      <alignment horizontal="center" vertical="center"/>
      <protection hidden="1" locked="0"/>
    </xf>
    <xf numFmtId="0" fontId="12" fillId="0" borderId="45" xfId="0" applyFont="1" applyBorder="1" applyAlignment="1" applyProtection="1">
      <alignment horizontal="center" vertical="center"/>
      <protection hidden="1" locked="0"/>
    </xf>
    <xf numFmtId="173" fontId="12" fillId="0" borderId="37" xfId="0" applyNumberFormat="1" applyFont="1" applyBorder="1" applyAlignment="1" applyProtection="1">
      <alignment horizontal="right" vertical="center"/>
      <protection hidden="1" locked="0"/>
    </xf>
    <xf numFmtId="173" fontId="12" fillId="0" borderId="21" xfId="0" applyNumberFormat="1" applyFont="1" applyBorder="1" applyAlignment="1" applyProtection="1">
      <alignment horizontal="right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60" xfId="0" applyFont="1" applyBorder="1" applyAlignment="1" applyProtection="1">
      <alignment vertical="center"/>
      <protection hidden="1" locked="0"/>
    </xf>
    <xf numFmtId="173" fontId="8" fillId="0" borderId="14" xfId="0" applyNumberFormat="1" applyFont="1" applyBorder="1" applyAlignment="1" applyProtection="1">
      <alignment horizontal="center" vertical="center"/>
      <protection hidden="1" locked="0"/>
    </xf>
    <xf numFmtId="1" fontId="8" fillId="0" borderId="17" xfId="0" applyNumberFormat="1" applyFont="1" applyBorder="1" applyAlignment="1" applyProtection="1">
      <alignment horizontal="center" vertical="center"/>
      <protection hidden="1" locked="0"/>
    </xf>
    <xf numFmtId="0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73" fontId="8" fillId="0" borderId="0" xfId="0" applyNumberFormat="1" applyFont="1" applyBorder="1" applyAlignment="1" applyProtection="1">
      <alignment horizontal="right" vertical="center"/>
      <protection hidden="1" locked="0"/>
    </xf>
    <xf numFmtId="0" fontId="14" fillId="0" borderId="58" xfId="0" applyFont="1" applyBorder="1" applyAlignment="1" applyProtection="1">
      <alignment horizontal="left" vertical="center"/>
      <protection hidden="1" locked="0"/>
    </xf>
    <xf numFmtId="0" fontId="12" fillId="0" borderId="25" xfId="0" applyFont="1" applyBorder="1" applyAlignment="1" applyProtection="1">
      <alignment vertical="center"/>
      <protection hidden="1" locked="0"/>
    </xf>
    <xf numFmtId="173" fontId="12" fillId="0" borderId="10" xfId="0" applyNumberFormat="1" applyFont="1" applyBorder="1" applyAlignment="1" applyProtection="1">
      <alignment horizontal="center" vertical="center"/>
      <protection hidden="1" locked="0"/>
    </xf>
    <xf numFmtId="1" fontId="12" fillId="0" borderId="10" xfId="0" applyNumberFormat="1" applyFont="1" applyBorder="1" applyAlignment="1" applyProtection="1">
      <alignment horizontal="center" vertical="center"/>
      <protection hidden="1" locked="0"/>
    </xf>
    <xf numFmtId="173" fontId="12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70" xfId="0" applyFont="1" applyBorder="1" applyAlignment="1" applyProtection="1">
      <alignment horizontal="center" vertical="center"/>
      <protection hidden="1" locked="0"/>
    </xf>
    <xf numFmtId="0" fontId="57" fillId="0" borderId="12" xfId="0" applyFont="1" applyBorder="1" applyAlignment="1" applyProtection="1">
      <alignment horizontal="center" vertical="center"/>
      <protection hidden="1" locked="0"/>
    </xf>
    <xf numFmtId="0" fontId="12" fillId="0" borderId="51" xfId="0" applyFont="1" applyBorder="1" applyAlignment="1" applyProtection="1">
      <alignment horizontal="center" vertical="center"/>
      <protection hidden="1" locked="0"/>
    </xf>
    <xf numFmtId="3" fontId="12" fillId="0" borderId="32" xfId="0" applyNumberFormat="1" applyFont="1" applyBorder="1" applyAlignment="1">
      <alignment horizontal="center" vertical="center"/>
    </xf>
    <xf numFmtId="0" fontId="14" fillId="0" borderId="59" xfId="0" applyFont="1" applyBorder="1" applyAlignment="1" applyProtection="1">
      <alignment horizontal="left" vertical="center"/>
      <protection hidden="1" locked="0"/>
    </xf>
    <xf numFmtId="0" fontId="12" fillId="0" borderId="11" xfId="0" applyFont="1" applyBorder="1" applyAlignment="1" applyProtection="1">
      <alignment vertical="center"/>
      <protection hidden="1" locked="0"/>
    </xf>
    <xf numFmtId="173" fontId="12" fillId="0" borderId="11" xfId="0" applyNumberFormat="1" applyFont="1" applyBorder="1" applyAlignment="1" applyProtection="1">
      <alignment horizontal="center" vertical="center"/>
      <protection hidden="1" locked="0"/>
    </xf>
    <xf numFmtId="1" fontId="12" fillId="0" borderId="11" xfId="0" applyNumberFormat="1" applyFont="1" applyBorder="1" applyAlignment="1" applyProtection="1">
      <alignment horizontal="center" vertical="center"/>
      <protection hidden="1" locked="0"/>
    </xf>
    <xf numFmtId="173" fontId="12" fillId="25" borderId="45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68" xfId="0" applyFont="1" applyBorder="1" applyAlignment="1" applyProtection="1">
      <alignment horizontal="center" vertical="center"/>
      <protection hidden="1" locked="0"/>
    </xf>
    <xf numFmtId="0" fontId="12" fillId="0" borderId="10" xfId="0" applyFont="1" applyBorder="1" applyAlignment="1" applyProtection="1">
      <alignment horizontal="center"/>
      <protection hidden="1" locked="0"/>
    </xf>
    <xf numFmtId="0" fontId="14" fillId="0" borderId="65" xfId="0" applyFont="1" applyBorder="1" applyAlignment="1" applyProtection="1">
      <alignment horizontal="center" vertical="center"/>
      <protection hidden="1"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4" fillId="0" borderId="65" xfId="0" applyFont="1" applyBorder="1" applyAlignment="1" applyProtection="1">
      <alignment vertical="center"/>
      <protection hidden="1" locked="0"/>
    </xf>
    <xf numFmtId="0" fontId="14" fillId="0" borderId="59" xfId="0" applyFont="1" applyBorder="1" applyAlignment="1" applyProtection="1">
      <alignment vertical="center"/>
      <protection hidden="1" locked="0"/>
    </xf>
    <xf numFmtId="0" fontId="0" fillId="0" borderId="0" xfId="0" applyNumberFormat="1" applyFont="1" applyBorder="1" applyAlignment="1">
      <alignment horizontal="center" vertical="center"/>
    </xf>
    <xf numFmtId="0" fontId="14" fillId="0" borderId="69" xfId="0" applyFont="1" applyBorder="1" applyAlignment="1" applyProtection="1">
      <alignment horizontal="center" vertical="center"/>
      <protection hidden="1" locked="0"/>
    </xf>
    <xf numFmtId="0" fontId="12" fillId="0" borderId="11" xfId="0" applyFont="1" applyBorder="1" applyAlignment="1" applyProtection="1">
      <alignment horizontal="center"/>
      <protection hidden="1" locked="0"/>
    </xf>
    <xf numFmtId="0" fontId="14" fillId="0" borderId="45" xfId="0" applyFont="1" applyBorder="1" applyAlignment="1" applyProtection="1">
      <alignment horizontal="center" vertical="center"/>
      <protection hidden="1" locked="0"/>
    </xf>
    <xf numFmtId="0" fontId="14" fillId="0" borderId="11" xfId="0" applyFont="1" applyBorder="1" applyAlignment="1" applyProtection="1">
      <alignment vertical="center"/>
      <protection hidden="1" locked="0"/>
    </xf>
    <xf numFmtId="0" fontId="14" fillId="0" borderId="45" xfId="0" applyFont="1" applyBorder="1" applyAlignment="1" applyProtection="1">
      <alignment vertical="center"/>
      <protection hidden="1" locked="0"/>
    </xf>
    <xf numFmtId="0" fontId="14" fillId="0" borderId="70" xfId="0" applyFont="1" applyBorder="1" applyAlignment="1" applyProtection="1">
      <alignment horizontal="center" vertical="center"/>
      <protection hidden="1" locked="0"/>
    </xf>
    <xf numFmtId="0" fontId="12" fillId="0" borderId="12" xfId="0" applyFont="1" applyBorder="1" applyAlignment="1" applyProtection="1">
      <alignment horizontal="center"/>
      <protection hidden="1" locked="0"/>
    </xf>
    <xf numFmtId="0" fontId="14" fillId="0" borderId="51" xfId="0" applyFont="1" applyBorder="1" applyAlignment="1" applyProtection="1">
      <alignment horizontal="center" vertical="center"/>
      <protection hidden="1" locked="0"/>
    </xf>
    <xf numFmtId="0" fontId="14" fillId="0" borderId="12" xfId="0" applyFont="1" applyBorder="1" applyAlignment="1" applyProtection="1">
      <alignment vertical="center"/>
      <protection hidden="1" locked="0"/>
    </xf>
    <xf numFmtId="0" fontId="14" fillId="0" borderId="51" xfId="0" applyFont="1" applyBorder="1" applyAlignment="1" applyProtection="1">
      <alignment vertical="center"/>
      <protection hidden="1" locked="0"/>
    </xf>
    <xf numFmtId="0" fontId="0" fillId="0" borderId="0" xfId="0" applyFont="1" applyFill="1" applyBorder="1" applyAlignment="1">
      <alignment/>
    </xf>
    <xf numFmtId="173" fontId="12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19" xfId="0" applyFont="1" applyBorder="1" applyAlignment="1" applyProtection="1">
      <alignment horizontal="left" vertical="center"/>
      <protection hidden="1" locked="0"/>
    </xf>
    <xf numFmtId="0" fontId="12" fillId="0" borderId="57" xfId="0" applyFont="1" applyBorder="1" applyAlignment="1" applyProtection="1">
      <alignment horizontal="left" vertical="center"/>
      <protection hidden="1" locked="0"/>
    </xf>
    <xf numFmtId="0" fontId="58" fillId="0" borderId="36" xfId="0" applyFont="1" applyBorder="1" applyAlignment="1" applyProtection="1">
      <alignment horizontal="center"/>
      <protection hidden="1" locked="0"/>
    </xf>
    <xf numFmtId="173" fontId="12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Border="1" applyAlignment="1" applyProtection="1">
      <alignment horizontal="left" vertical="center"/>
      <protection hidden="1" locked="0"/>
    </xf>
    <xf numFmtId="0" fontId="12" fillId="0" borderId="15" xfId="0" applyFont="1" applyBorder="1" applyAlignment="1" applyProtection="1">
      <alignment horizontal="left" vertical="center"/>
      <protection hidden="1" locked="0"/>
    </xf>
    <xf numFmtId="0" fontId="58" fillId="0" borderId="37" xfId="0" applyFont="1" applyBorder="1" applyAlignment="1" applyProtection="1">
      <alignment horizontal="center"/>
      <protection hidden="1" locked="0"/>
    </xf>
    <xf numFmtId="0" fontId="12" fillId="0" borderId="45" xfId="0" applyFont="1" applyBorder="1" applyAlignment="1" applyProtection="1">
      <alignment vertical="center"/>
      <protection hidden="1" locked="0"/>
    </xf>
    <xf numFmtId="173" fontId="12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69" xfId="0" applyFont="1" applyBorder="1" applyAlignment="1" applyProtection="1">
      <alignment horizontal="right" vertical="center"/>
      <protection hidden="1" locked="0"/>
    </xf>
    <xf numFmtId="0" fontId="12" fillId="0" borderId="32" xfId="0" applyFont="1" applyBorder="1" applyAlignment="1" applyProtection="1">
      <alignment horizontal="left" vertical="center"/>
      <protection hidden="1" locked="0"/>
    </xf>
    <xf numFmtId="0" fontId="12" fillId="0" borderId="35" xfId="0" applyFont="1" applyBorder="1" applyAlignment="1" applyProtection="1">
      <alignment horizontal="left" vertical="center"/>
      <protection hidden="1" locked="0"/>
    </xf>
    <xf numFmtId="0" fontId="58" fillId="0" borderId="50" xfId="0" applyFont="1" applyBorder="1" applyAlignment="1" applyProtection="1">
      <alignment horizontal="center"/>
      <protection hidden="1" locked="0"/>
    </xf>
    <xf numFmtId="0" fontId="12" fillId="0" borderId="70" xfId="0" applyFont="1" applyBorder="1" applyAlignment="1" applyProtection="1">
      <alignment horizontal="right" vertical="center"/>
      <protection hidden="1" locked="0"/>
    </xf>
    <xf numFmtId="0" fontId="12" fillId="0" borderId="51" xfId="0" applyFont="1" applyBorder="1" applyAlignment="1" applyProtection="1">
      <alignment vertical="center"/>
      <protection hidden="1" locked="0"/>
    </xf>
    <xf numFmtId="0" fontId="12" fillId="0" borderId="45" xfId="0" applyFont="1" applyBorder="1" applyAlignment="1" applyProtection="1">
      <alignment horizontal="center" vertical="center" shrinkToFit="1"/>
      <protection hidden="1" locked="0"/>
    </xf>
    <xf numFmtId="0" fontId="12" fillId="0" borderId="71" xfId="0" applyFont="1" applyBorder="1" applyAlignment="1" applyProtection="1">
      <alignment horizontal="left" vertical="center"/>
      <protection hidden="1" locked="0"/>
    </xf>
    <xf numFmtId="0" fontId="12" fillId="0" borderId="74" xfId="0" applyFont="1" applyBorder="1" applyAlignment="1" applyProtection="1">
      <alignment horizontal="left" vertical="center"/>
      <protection hidden="1" locked="0"/>
    </xf>
    <xf numFmtId="0" fontId="12" fillId="0" borderId="43" xfId="0" applyFont="1" applyBorder="1" applyAlignment="1" applyProtection="1">
      <alignment horizontal="center" vertical="top"/>
      <protection hidden="1" locked="0"/>
    </xf>
    <xf numFmtId="0" fontId="12" fillId="0" borderId="89" xfId="0" applyFont="1" applyBorder="1" applyAlignment="1" applyProtection="1">
      <alignment vertical="center"/>
      <protection hidden="1" locked="0"/>
    </xf>
    <xf numFmtId="0" fontId="12" fillId="0" borderId="90" xfId="0" applyFont="1" applyBorder="1" applyAlignment="1" applyProtection="1">
      <alignment horizontal="center" vertical="center"/>
      <protection hidden="1" locked="0"/>
    </xf>
    <xf numFmtId="0" fontId="12" fillId="0" borderId="74" xfId="0" applyFont="1" applyBorder="1" applyAlignment="1" applyProtection="1">
      <alignment vertical="center"/>
      <protection hidden="1" locked="0"/>
    </xf>
    <xf numFmtId="173" fontId="14" fillId="0" borderId="16" xfId="0" applyNumberFormat="1" applyFont="1" applyBorder="1" applyAlignment="1" applyProtection="1">
      <alignment horizontal="right" vertical="center"/>
      <protection hidden="1" locked="0"/>
    </xf>
    <xf numFmtId="0" fontId="12" fillId="0" borderId="36" xfId="0" applyFont="1" applyBorder="1" applyAlignment="1" applyProtection="1">
      <alignment horizontal="center"/>
      <protection hidden="1" locked="0"/>
    </xf>
    <xf numFmtId="0" fontId="12" fillId="0" borderId="68" xfId="0" applyFont="1" applyBorder="1" applyAlignment="1" applyProtection="1">
      <alignment horizontal="right" vertical="center"/>
      <protection hidden="1" locked="0"/>
    </xf>
    <xf numFmtId="0" fontId="12" fillId="0" borderId="65" xfId="0" applyFont="1" applyBorder="1" applyAlignment="1" applyProtection="1">
      <alignment horizontal="right" vertical="center"/>
      <protection hidden="1" locked="0"/>
    </xf>
    <xf numFmtId="173" fontId="14" fillId="0" borderId="30" xfId="0" applyNumberFormat="1" applyFont="1" applyBorder="1" applyAlignment="1" applyProtection="1">
      <alignment horizontal="right" vertical="center"/>
      <protection hidden="1" locked="0"/>
    </xf>
    <xf numFmtId="0" fontId="12" fillId="0" borderId="37" xfId="0" applyFont="1" applyBorder="1" applyAlignment="1" applyProtection="1">
      <alignment horizontal="center"/>
      <protection hidden="1" locked="0"/>
    </xf>
    <xf numFmtId="0" fontId="12" fillId="0" borderId="45" xfId="0" applyFont="1" applyBorder="1" applyAlignment="1" applyProtection="1">
      <alignment horizontal="right" vertical="center"/>
      <protection hidden="1" locked="0"/>
    </xf>
    <xf numFmtId="173" fontId="14" fillId="0" borderId="31" xfId="0" applyNumberFormat="1" applyFont="1" applyBorder="1" applyAlignment="1" applyProtection="1">
      <alignment horizontal="right" vertical="center"/>
      <protection hidden="1" locked="0"/>
    </xf>
    <xf numFmtId="0" fontId="12" fillId="0" borderId="50" xfId="0" applyFont="1" applyBorder="1" applyAlignment="1" applyProtection="1">
      <alignment horizontal="center"/>
      <protection hidden="1" locked="0"/>
    </xf>
    <xf numFmtId="0" fontId="12" fillId="0" borderId="51" xfId="0" applyFont="1" applyBorder="1" applyAlignment="1" applyProtection="1">
      <alignment horizontal="right" vertical="center"/>
      <protection hidden="1" locked="0"/>
    </xf>
    <xf numFmtId="173" fontId="14" fillId="0" borderId="33" xfId="0" applyNumberFormat="1" applyFont="1" applyBorder="1" applyAlignment="1" applyProtection="1">
      <alignment horizontal="right" vertical="center"/>
      <protection hidden="1" locked="0"/>
    </xf>
    <xf numFmtId="1" fontId="12" fillId="0" borderId="45" xfId="0" applyNumberFormat="1" applyFont="1" applyBorder="1" applyAlignment="1" applyProtection="1">
      <alignment horizontal="center" vertical="center"/>
      <protection hidden="1" locked="0"/>
    </xf>
    <xf numFmtId="0" fontId="14" fillId="0" borderId="17" xfId="0" applyFont="1" applyBorder="1" applyAlignment="1" applyProtection="1">
      <alignment horizontal="left"/>
      <protection hidden="1" locked="0"/>
    </xf>
    <xf numFmtId="0" fontId="14" fillId="0" borderId="60" xfId="0" applyFont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4" fillId="0" borderId="91" xfId="0" applyFont="1" applyBorder="1" applyAlignment="1" applyProtection="1">
      <alignment horizontal="center" vertical="center"/>
      <protection hidden="1" locked="0"/>
    </xf>
    <xf numFmtId="0" fontId="14" fillId="0" borderId="78" xfId="0" applyFont="1" applyBorder="1" applyAlignment="1" applyProtection="1">
      <alignment horizontal="center" vertical="center"/>
      <protection hidden="1" locked="0"/>
    </xf>
    <xf numFmtId="0" fontId="14" fillId="0" borderId="75" xfId="0" applyFont="1" applyBorder="1" applyAlignment="1" applyProtection="1">
      <alignment horizontal="left" vertical="center"/>
      <protection hidden="1" locked="0"/>
    </xf>
    <xf numFmtId="0" fontId="14" fillId="0" borderId="82" xfId="0" applyFont="1" applyBorder="1" applyAlignment="1" applyProtection="1">
      <alignment vertical="center"/>
      <protection hidden="1" locked="0"/>
    </xf>
    <xf numFmtId="0" fontId="14" fillId="0" borderId="49" xfId="0" applyFont="1" applyBorder="1" applyAlignment="1" applyProtection="1">
      <alignment horizontal="center" vertical="center"/>
      <protection hidden="1" locked="0"/>
    </xf>
    <xf numFmtId="0" fontId="14" fillId="0" borderId="75" xfId="0" applyFont="1" applyBorder="1" applyAlignment="1" applyProtection="1">
      <alignment horizontal="center" vertical="center"/>
      <protection hidden="1" locked="0"/>
    </xf>
    <xf numFmtId="0" fontId="14" fillId="0" borderId="82" xfId="0" applyFont="1" applyBorder="1" applyAlignment="1" applyProtection="1">
      <alignment horizontal="center" vertical="center"/>
      <protection hidden="1" locked="0"/>
    </xf>
    <xf numFmtId="0" fontId="14" fillId="0" borderId="37" xfId="0" applyFont="1" applyBorder="1" applyAlignment="1" applyProtection="1">
      <alignment horizontal="center" vertical="center"/>
      <protection hidden="1" locked="0"/>
    </xf>
    <xf numFmtId="0" fontId="14" fillId="0" borderId="21" xfId="0" applyFont="1" applyBorder="1" applyAlignment="1" applyProtection="1">
      <alignment horizontal="center" vertical="center"/>
      <protection hidden="1" locked="0"/>
    </xf>
    <xf numFmtId="1" fontId="14" fillId="0" borderId="31" xfId="0" applyNumberFormat="1" applyFont="1" applyBorder="1" applyAlignment="1" applyProtection="1">
      <alignment horizontal="center" vertical="center"/>
      <protection hidden="1" locked="0"/>
    </xf>
    <xf numFmtId="0" fontId="14" fillId="0" borderId="35" xfId="0" applyFont="1" applyBorder="1" applyAlignment="1" applyProtection="1">
      <alignment vertical="center"/>
      <protection hidden="1" locked="0"/>
    </xf>
    <xf numFmtId="0" fontId="14" fillId="0" borderId="50" xfId="0" applyFont="1" applyBorder="1" applyAlignment="1" applyProtection="1">
      <alignment horizontal="center" vertical="center"/>
      <protection hidden="1" locked="0"/>
    </xf>
    <xf numFmtId="0" fontId="14" fillId="0" borderId="32" xfId="0" applyFont="1" applyBorder="1" applyAlignment="1" applyProtection="1">
      <alignment horizontal="center" vertical="center"/>
      <protection hidden="1" locked="0"/>
    </xf>
    <xf numFmtId="0" fontId="12" fillId="0" borderId="75" xfId="0" applyFont="1" applyBorder="1" applyAlignment="1" applyProtection="1">
      <alignment horizontal="left" vertical="center"/>
      <protection hidden="1" locked="0"/>
    </xf>
    <xf numFmtId="0" fontId="12" fillId="0" borderId="82" xfId="0" applyFont="1" applyBorder="1" applyAlignment="1" applyProtection="1">
      <alignment horizontal="left" vertical="center"/>
      <protection hidden="1" locked="0"/>
    </xf>
    <xf numFmtId="0" fontId="8" fillId="0" borderId="49" xfId="0" applyFont="1" applyBorder="1" applyAlignment="1" applyProtection="1">
      <alignment horizontal="center" vertical="center"/>
      <protection hidden="1" locked="0"/>
    </xf>
    <xf numFmtId="0" fontId="8" fillId="0" borderId="75" xfId="0" applyFont="1" applyBorder="1" applyAlignment="1" applyProtection="1">
      <alignment horizontal="center" vertical="center"/>
      <protection hidden="1" locked="0"/>
    </xf>
    <xf numFmtId="0" fontId="8" fillId="0" borderId="82" xfId="0" applyFont="1" applyBorder="1" applyAlignment="1" applyProtection="1">
      <alignment horizontal="center" vertical="center"/>
      <protection hidden="1" locked="0"/>
    </xf>
    <xf numFmtId="0" fontId="8" fillId="0" borderId="44" xfId="0" applyFont="1" applyBorder="1" applyAlignment="1" applyProtection="1">
      <alignment horizontal="center" vertical="center"/>
      <protection hidden="1" locked="0"/>
    </xf>
    <xf numFmtId="1" fontId="14" fillId="0" borderId="30" xfId="0" applyNumberFormat="1" applyFont="1" applyBorder="1" applyAlignment="1" applyProtection="1">
      <alignment horizontal="center" vertical="center"/>
      <protection hidden="1" locked="0"/>
    </xf>
    <xf numFmtId="173" fontId="12" fillId="0" borderId="45" xfId="0" applyNumberFormat="1" applyFont="1" applyBorder="1" applyAlignment="1" applyProtection="1">
      <alignment horizontal="center" vertical="center"/>
      <protection hidden="1" locked="0"/>
    </xf>
    <xf numFmtId="0" fontId="12" fillId="0" borderId="15" xfId="0" applyFont="1" applyBorder="1" applyAlignment="1" applyProtection="1">
      <alignment vertical="center"/>
      <protection hidden="1" locked="0"/>
    </xf>
    <xf numFmtId="0" fontId="8" fillId="0" borderId="37" xfId="0" applyFont="1" applyBorder="1" applyAlignment="1" applyProtection="1">
      <alignment horizontal="center" vertical="center"/>
      <protection hidden="1" locked="0"/>
    </xf>
    <xf numFmtId="0" fontId="8" fillId="0" borderId="21" xfId="0" applyFont="1" applyBorder="1" applyAlignment="1" applyProtection="1">
      <alignment vertical="center"/>
      <protection hidden="1" locked="0"/>
    </xf>
    <xf numFmtId="0" fontId="8" fillId="0" borderId="37" xfId="0" applyFont="1" applyBorder="1" applyAlignment="1" applyProtection="1">
      <alignment vertical="center"/>
      <protection hidden="1" locked="0"/>
    </xf>
    <xf numFmtId="0" fontId="8" fillId="0" borderId="15" xfId="0" applyFont="1" applyBorder="1" applyAlignment="1" applyProtection="1">
      <alignment vertical="center"/>
      <protection hidden="1" locked="0"/>
    </xf>
    <xf numFmtId="0" fontId="8" fillId="0" borderId="45" xfId="0" applyFont="1" applyBorder="1" applyAlignment="1" applyProtection="1">
      <alignment vertical="center"/>
      <protection hidden="1" locked="0"/>
    </xf>
    <xf numFmtId="1" fontId="14" fillId="0" borderId="48" xfId="0" applyNumberFormat="1" applyFont="1" applyBorder="1" applyAlignment="1" applyProtection="1">
      <alignment horizontal="center" vertical="center"/>
      <protection hidden="1" locked="0"/>
    </xf>
    <xf numFmtId="0" fontId="14" fillId="0" borderId="61" xfId="0" applyFont="1" applyBorder="1" applyAlignment="1" applyProtection="1">
      <alignment vertical="center"/>
      <protection hidden="1" locked="0"/>
    </xf>
    <xf numFmtId="173" fontId="12" fillId="0" borderId="12" xfId="0" applyNumberFormat="1" applyFont="1" applyBorder="1" applyAlignment="1" applyProtection="1">
      <alignment horizontal="center" vertical="center"/>
      <protection hidden="1" locked="0"/>
    </xf>
    <xf numFmtId="1" fontId="12" fillId="0" borderId="51" xfId="0" applyNumberFormat="1" applyFont="1" applyBorder="1" applyAlignment="1" applyProtection="1">
      <alignment horizontal="center" vertical="center"/>
      <protection hidden="1" locked="0"/>
    </xf>
    <xf numFmtId="0" fontId="12" fillId="0" borderId="51" xfId="0" applyFont="1" applyBorder="1" applyAlignment="1" applyProtection="1">
      <alignment horizontal="center" vertical="center" shrinkToFit="1"/>
      <protection hidden="1" locked="0"/>
    </xf>
    <xf numFmtId="173" fontId="12" fillId="0" borderId="51" xfId="0" applyNumberFormat="1" applyFont="1" applyBorder="1" applyAlignment="1" applyProtection="1">
      <alignment horizontal="center" vertical="center"/>
      <protection hidden="1" locked="0"/>
    </xf>
    <xf numFmtId="173" fontId="12" fillId="0" borderId="27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0" fontId="12" fillId="0" borderId="15" xfId="0" applyFont="1" applyBorder="1" applyAlignment="1" applyProtection="1">
      <alignment horizontal="left" vertical="center" shrinkToFit="1"/>
      <protection hidden="1" locked="0"/>
    </xf>
    <xf numFmtId="0" fontId="12" fillId="0" borderId="0" xfId="0" applyFont="1" applyBorder="1" applyAlignment="1" applyProtection="1">
      <alignment vertical="center"/>
      <protection hidden="1" locked="0"/>
    </xf>
    <xf numFmtId="0" fontId="12" fillId="0" borderId="35" xfId="0" applyFont="1" applyBorder="1" applyAlignment="1" applyProtection="1">
      <alignment vertical="center"/>
      <protection hidden="1" locked="0"/>
    </xf>
    <xf numFmtId="0" fontId="8" fillId="0" borderId="50" xfId="0" applyFont="1" applyBorder="1" applyAlignment="1" applyProtection="1">
      <alignment horizontal="center" vertical="center"/>
      <protection hidden="1" locked="0"/>
    </xf>
    <xf numFmtId="0" fontId="8" fillId="0" borderId="32" xfId="0" applyFont="1" applyBorder="1" applyAlignment="1" applyProtection="1">
      <alignment vertical="center"/>
      <protection hidden="1" locked="0"/>
    </xf>
    <xf numFmtId="0" fontId="8" fillId="0" borderId="50" xfId="0" applyFont="1" applyBorder="1" applyAlignment="1" applyProtection="1">
      <alignment vertical="center"/>
      <protection hidden="1" locked="0"/>
    </xf>
    <xf numFmtId="0" fontId="8" fillId="0" borderId="35" xfId="0" applyFont="1" applyBorder="1" applyAlignment="1" applyProtection="1">
      <alignment vertical="center"/>
      <protection hidden="1" locked="0"/>
    </xf>
    <xf numFmtId="0" fontId="8" fillId="0" borderId="51" xfId="0" applyFont="1" applyBorder="1" applyAlignment="1" applyProtection="1">
      <alignment vertical="center"/>
      <protection hidden="1" locked="0"/>
    </xf>
    <xf numFmtId="1" fontId="14" fillId="0" borderId="33" xfId="0" applyNumberFormat="1" applyFont="1" applyBorder="1" applyAlignment="1" applyProtection="1">
      <alignment horizontal="center" vertical="center"/>
      <protection hidden="1" locked="0"/>
    </xf>
    <xf numFmtId="173" fontId="12" fillId="0" borderId="68" xfId="0" applyNumberFormat="1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/>
      <protection hidden="1" locked="0"/>
    </xf>
    <xf numFmtId="173" fontId="12" fillId="0" borderId="0" xfId="0" applyNumberFormat="1" applyFont="1" applyBorder="1" applyAlignment="1" applyProtection="1">
      <alignment horizontal="right" vertical="center"/>
      <protection hidden="1" locked="0"/>
    </xf>
    <xf numFmtId="0" fontId="8" fillId="0" borderId="0" xfId="0" applyNumberFormat="1" applyFont="1" applyAlignment="1" applyProtection="1">
      <alignment horizontal="center" vertical="center"/>
      <protection hidden="1" locked="0"/>
    </xf>
    <xf numFmtId="0" fontId="14" fillId="0" borderId="36" xfId="0" applyFont="1" applyBorder="1" applyAlignment="1" applyProtection="1">
      <alignment horizontal="center" vertical="center"/>
      <protection hidden="1" locked="0"/>
    </xf>
    <xf numFmtId="0" fontId="14" fillId="0" borderId="19" xfId="0" applyFont="1" applyBorder="1" applyAlignment="1" applyProtection="1">
      <alignment horizontal="center" vertical="center"/>
      <protection hidden="1" locked="0"/>
    </xf>
    <xf numFmtId="0" fontId="8" fillId="0" borderId="65" xfId="0" applyFont="1" applyBorder="1" applyAlignment="1" applyProtection="1">
      <alignment horizontal="center" vertical="center"/>
      <protection hidden="1" locked="0"/>
    </xf>
    <xf numFmtId="173" fontId="12" fillId="0" borderId="69" xfId="0" applyNumberFormat="1" applyFont="1" applyBorder="1" applyAlignment="1" applyProtection="1">
      <alignment horizontal="center" vertical="center"/>
      <protection hidden="1" locked="0"/>
    </xf>
    <xf numFmtId="0" fontId="8" fillId="0" borderId="45" xfId="0" applyFont="1" applyBorder="1" applyAlignment="1" applyProtection="1">
      <alignment horizontal="center" vertical="center"/>
      <protection hidden="1" locked="0"/>
    </xf>
    <xf numFmtId="0" fontId="12" fillId="0" borderId="11" xfId="0" applyNumberFormat="1" applyFont="1" applyBorder="1" applyAlignment="1" applyProtection="1">
      <alignment horizontal="center" vertical="center"/>
      <protection hidden="1" locked="0"/>
    </xf>
    <xf numFmtId="0" fontId="12" fillId="0" borderId="15" xfId="0" applyNumberFormat="1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173" fontId="12" fillId="0" borderId="70" xfId="0" applyNumberFormat="1" applyFont="1" applyBorder="1" applyAlignment="1" applyProtection="1">
      <alignment horizontal="center" vertical="center"/>
      <protection hidden="1" locked="0"/>
    </xf>
    <xf numFmtId="1" fontId="12" fillId="0" borderId="12" xfId="0" applyNumberFormat="1" applyFont="1" applyBorder="1" applyAlignment="1" applyProtection="1">
      <alignment horizontal="center" vertical="center"/>
      <protection hidden="1" locked="0"/>
    </xf>
    <xf numFmtId="0" fontId="12" fillId="0" borderId="51" xfId="0" applyFont="1" applyBorder="1" applyAlignment="1" applyProtection="1">
      <alignment horizontal="left" vertical="center"/>
      <protection hidden="1" locked="0"/>
    </xf>
    <xf numFmtId="0" fontId="12" fillId="0" borderId="32" xfId="0" applyNumberFormat="1" applyFont="1" applyBorder="1" applyAlignment="1" applyProtection="1">
      <alignment horizontal="center" vertical="center"/>
      <protection hidden="1" locked="0"/>
    </xf>
    <xf numFmtId="173" fontId="12" fillId="0" borderId="50" xfId="0" applyNumberFormat="1" applyFont="1" applyBorder="1" applyAlignment="1" applyProtection="1">
      <alignment horizontal="right" vertical="center"/>
      <protection hidden="1" locked="0"/>
    </xf>
    <xf numFmtId="0" fontId="8" fillId="0" borderId="51" xfId="0" applyFont="1" applyBorder="1" applyAlignment="1" applyProtection="1">
      <alignment horizontal="center" vertical="center"/>
      <protection hidden="1" locked="0"/>
    </xf>
    <xf numFmtId="173" fontId="4" fillId="0" borderId="0" xfId="0" applyNumberFormat="1" applyFont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NumberFormat="1" applyFont="1" applyAlignment="1" applyProtection="1">
      <alignment horizontal="center" vertical="center"/>
      <protection hidden="1" locked="0"/>
    </xf>
    <xf numFmtId="1" fontId="4" fillId="0" borderId="0" xfId="0" applyNumberFormat="1" applyFont="1" applyBorder="1" applyAlignment="1" applyProtection="1">
      <alignment horizontal="center" vertical="center" wrapText="1"/>
      <protection hidden="1" locked="0"/>
    </xf>
    <xf numFmtId="1" fontId="4" fillId="0" borderId="0" xfId="0" applyNumberFormat="1" applyFont="1" applyBorder="1" applyAlignment="1" applyProtection="1">
      <alignment horizontal="right" vertical="center"/>
      <protection hidden="1" locked="0"/>
    </xf>
    <xf numFmtId="0" fontId="4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NumberFormat="1" applyFont="1" applyBorder="1" applyAlignment="1" applyProtection="1">
      <alignment horizontal="center" vertical="center" wrapText="1"/>
      <protection hidden="1" locked="0"/>
    </xf>
    <xf numFmtId="1" fontId="4" fillId="0" borderId="0" xfId="0" applyNumberFormat="1" applyFont="1" applyBorder="1" applyAlignment="1" applyProtection="1">
      <alignment horizontal="right" vertical="center" wrapText="1"/>
      <protection hidden="1" locked="0"/>
    </xf>
    <xf numFmtId="0" fontId="4" fillId="0" borderId="0" xfId="0" applyNumberFormat="1" applyFont="1" applyBorder="1" applyAlignment="1" applyProtection="1">
      <alignment horizontal="center" vertical="center" wrapText="1"/>
      <protection hidden="1" locked="0"/>
    </xf>
    <xf numFmtId="173" fontId="4" fillId="0" borderId="0" xfId="0" applyNumberFormat="1" applyFont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173" fontId="64" fillId="0" borderId="0" xfId="0" applyNumberFormat="1" applyFont="1" applyBorder="1" applyAlignment="1" applyProtection="1">
      <alignment vertical="center"/>
      <protection locked="0"/>
    </xf>
    <xf numFmtId="173" fontId="64" fillId="0" borderId="0" xfId="0" applyNumberFormat="1" applyFont="1" applyBorder="1" applyAlignment="1" applyProtection="1">
      <alignment horizontal="left" vertical="center"/>
      <protection locked="0"/>
    </xf>
    <xf numFmtId="0" fontId="10" fillId="0" borderId="91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173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73" fontId="10" fillId="0" borderId="18" xfId="0" applyNumberFormat="1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8" fillId="0" borderId="68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7" fillId="0" borderId="19" xfId="0" applyFont="1" applyBorder="1" applyAlignment="1" applyProtection="1">
      <alignment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173" fontId="12" fillId="0" borderId="10" xfId="0" applyNumberFormat="1" applyFont="1" applyBorder="1" applyAlignment="1" applyProtection="1">
      <alignment horizontal="center" vertical="center"/>
      <protection locked="0"/>
    </xf>
    <xf numFmtId="173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8" fillId="0" borderId="69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7" fillId="0" borderId="21" xfId="0" applyFont="1" applyBorder="1" applyAlignment="1" applyProtection="1">
      <alignment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173" fontId="12" fillId="0" borderId="22" xfId="0" applyNumberFormat="1" applyFont="1" applyFill="1" applyBorder="1" applyAlignment="1" applyProtection="1">
      <alignment horizontal="right" vertical="center"/>
      <protection locked="0"/>
    </xf>
    <xf numFmtId="173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1" fontId="12" fillId="0" borderId="11" xfId="0" applyNumberFormat="1" applyFont="1" applyBorder="1" applyAlignment="1" applyProtection="1">
      <alignment horizontal="center" vertical="center"/>
      <protection locked="0"/>
    </xf>
    <xf numFmtId="0" fontId="67" fillId="0" borderId="32" xfId="0" applyFont="1" applyBorder="1" applyAlignment="1" applyProtection="1">
      <alignment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1" fontId="12" fillId="0" borderId="29" xfId="0" applyNumberFormat="1" applyFont="1" applyBorder="1" applyAlignment="1" applyProtection="1">
      <alignment horizontal="center" vertical="center"/>
      <protection locked="0"/>
    </xf>
    <xf numFmtId="0" fontId="67" fillId="0" borderId="32" xfId="0" applyFont="1" applyBorder="1" applyAlignment="1" applyProtection="1">
      <alignment vertical="center"/>
      <protection/>
    </xf>
    <xf numFmtId="0" fontId="68" fillId="0" borderId="12" xfId="0" applyFont="1" applyBorder="1" applyAlignment="1" applyProtection="1">
      <alignment vertical="top"/>
      <protection/>
    </xf>
    <xf numFmtId="0" fontId="68" fillId="0" borderId="12" xfId="0" applyFont="1" applyBorder="1" applyAlignment="1" applyProtection="1">
      <alignment horizontal="center" vertical="top"/>
      <protection/>
    </xf>
    <xf numFmtId="0" fontId="68" fillId="0" borderId="10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173" fontId="12" fillId="0" borderId="26" xfId="0" applyNumberFormat="1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7" fillId="0" borderId="28" xfId="0" applyFont="1" applyBorder="1" applyAlignment="1" applyProtection="1">
      <alignment vertical="center"/>
      <protection locked="0"/>
    </xf>
    <xf numFmtId="0" fontId="68" fillId="0" borderId="29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67" fillId="0" borderId="17" xfId="0" applyFont="1" applyBorder="1" applyAlignment="1" applyProtection="1">
      <alignment vertical="center"/>
      <protection locked="0"/>
    </xf>
    <xf numFmtId="0" fontId="68" fillId="0" borderId="24" xfId="0" applyFont="1" applyBorder="1" applyAlignment="1" applyProtection="1">
      <alignment horizontal="center" vertical="center"/>
      <protection locked="0"/>
    </xf>
    <xf numFmtId="0" fontId="68" fillId="0" borderId="24" xfId="0" applyFont="1" applyBorder="1" applyAlignment="1" applyProtection="1">
      <alignment vertical="center"/>
      <protection locked="0"/>
    </xf>
    <xf numFmtId="173" fontId="68" fillId="0" borderId="13" xfId="0" applyNumberFormat="1" applyFont="1" applyBorder="1" applyAlignment="1" applyProtection="1">
      <alignment horizontal="center" vertical="center"/>
      <protection locked="0"/>
    </xf>
    <xf numFmtId="0" fontId="68" fillId="0" borderId="57" xfId="0" applyFont="1" applyBorder="1" applyAlignment="1" applyProtection="1">
      <alignment horizontal="center" vertical="center"/>
      <protection locked="0"/>
    </xf>
    <xf numFmtId="0" fontId="68" fillId="0" borderId="57" xfId="0" applyFont="1" applyBorder="1" applyAlignment="1" applyProtection="1">
      <alignment vertical="center"/>
      <protection locked="0"/>
    </xf>
    <xf numFmtId="173" fontId="68" fillId="0" borderId="20" xfId="0" applyNumberFormat="1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vertical="center"/>
      <protection locked="0"/>
    </xf>
    <xf numFmtId="173" fontId="68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0" fontId="68" fillId="0" borderId="35" xfId="0" applyFont="1" applyBorder="1" applyAlignment="1" applyProtection="1">
      <alignment horizontal="center" vertical="center"/>
      <protection locked="0"/>
    </xf>
    <xf numFmtId="0" fontId="68" fillId="0" borderId="35" xfId="0" applyFont="1" applyBorder="1" applyAlignment="1" applyProtection="1">
      <alignment vertical="center"/>
      <protection locked="0"/>
    </xf>
    <xf numFmtId="173" fontId="68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73" fontId="12" fillId="0" borderId="27" xfId="0" applyNumberFormat="1" applyFont="1" applyBorder="1" applyAlignment="1" applyProtection="1">
      <alignment horizontal="right" vertical="center"/>
      <protection locked="0"/>
    </xf>
    <xf numFmtId="0" fontId="69" fillId="0" borderId="39" xfId="0" applyFont="1" applyBorder="1" applyAlignment="1" applyProtection="1">
      <alignment horizontal="center" vertical="center"/>
      <protection locked="0"/>
    </xf>
    <xf numFmtId="0" fontId="68" fillId="0" borderId="91" xfId="0" applyFont="1" applyBorder="1" applyAlignment="1" applyProtection="1">
      <alignment horizontal="center" vertical="center"/>
      <protection locked="0"/>
    </xf>
    <xf numFmtId="0" fontId="69" fillId="0" borderId="24" xfId="0" applyFont="1" applyFill="1" applyBorder="1" applyAlignment="1" applyProtection="1">
      <alignment vertical="center"/>
      <protection locked="0"/>
    </xf>
    <xf numFmtId="0" fontId="69" fillId="0" borderId="24" xfId="0" applyFont="1" applyBorder="1" applyAlignment="1" applyProtection="1">
      <alignment vertical="center"/>
      <protection locked="0"/>
    </xf>
    <xf numFmtId="173" fontId="69" fillId="0" borderId="13" xfId="0" applyNumberFormat="1" applyFont="1" applyBorder="1" applyAlignment="1" applyProtection="1">
      <alignment vertical="center"/>
      <protection locked="0"/>
    </xf>
    <xf numFmtId="0" fontId="67" fillId="0" borderId="67" xfId="0" applyFont="1" applyBorder="1" applyAlignment="1" applyProtection="1">
      <alignment vertical="center"/>
      <protection locked="0"/>
    </xf>
    <xf numFmtId="0" fontId="68" fillId="0" borderId="25" xfId="0" applyFont="1" applyBorder="1" applyAlignment="1" applyProtection="1">
      <alignment horizontal="center" vertical="center"/>
      <protection locked="0"/>
    </xf>
    <xf numFmtId="0" fontId="68" fillId="0" borderId="44" xfId="0" applyFont="1" applyBorder="1" applyAlignment="1" applyProtection="1">
      <alignment horizontal="center" vertical="center"/>
      <protection locked="0"/>
    </xf>
    <xf numFmtId="173" fontId="12" fillId="0" borderId="25" xfId="0" applyNumberFormat="1" applyFont="1" applyFill="1" applyBorder="1" applyAlignment="1" applyProtection="1">
      <alignment horizontal="right" vertical="center"/>
      <protection locked="0"/>
    </xf>
    <xf numFmtId="173" fontId="12" fillId="0" borderId="92" xfId="0" applyNumberFormat="1" applyFont="1" applyBorder="1" applyAlignment="1" applyProtection="1">
      <alignment horizontal="center" vertical="center"/>
      <protection locked="0"/>
    </xf>
    <xf numFmtId="173" fontId="12" fillId="0" borderId="92" xfId="0" applyNumberFormat="1" applyFont="1" applyBorder="1" applyAlignment="1" applyProtection="1">
      <alignment horizontal="center" vertical="center"/>
      <protection locked="0"/>
    </xf>
    <xf numFmtId="0" fontId="67" fillId="0" borderId="59" xfId="0" applyFont="1" applyBorder="1" applyAlignment="1" applyProtection="1">
      <alignment vertical="center"/>
      <protection locked="0"/>
    </xf>
    <xf numFmtId="176" fontId="68" fillId="0" borderId="11" xfId="0" applyNumberFormat="1" applyFont="1" applyBorder="1" applyAlignment="1" applyProtection="1">
      <alignment horizontal="center" vertical="center"/>
      <protection locked="0"/>
    </xf>
    <xf numFmtId="0" fontId="68" fillId="0" borderId="45" xfId="0" applyFont="1" applyBorder="1" applyAlignment="1" applyProtection="1">
      <alignment horizontal="center" vertical="center"/>
      <protection locked="0"/>
    </xf>
    <xf numFmtId="173" fontId="12" fillId="0" borderId="11" xfId="0" applyNumberFormat="1" applyFont="1" applyFill="1" applyBorder="1" applyAlignment="1" applyProtection="1">
      <alignment horizontal="right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vertical="center"/>
      <protection locked="0"/>
    </xf>
    <xf numFmtId="173" fontId="12" fillId="0" borderId="30" xfId="0" applyNumberFormat="1" applyFont="1" applyBorder="1" applyAlignment="1" applyProtection="1">
      <alignment horizontal="center" vertical="center"/>
      <protection locked="0"/>
    </xf>
    <xf numFmtId="173" fontId="12" fillId="0" borderId="0" xfId="0" applyNumberFormat="1" applyFont="1" applyBorder="1" applyAlignment="1" applyProtection="1">
      <alignment horizontal="center" vertical="center"/>
      <protection locked="0"/>
    </xf>
    <xf numFmtId="173" fontId="12" fillId="0" borderId="93" xfId="0" applyNumberFormat="1" applyFont="1" applyBorder="1" applyAlignment="1" applyProtection="1">
      <alignment horizontal="center" vertical="center"/>
      <protection locked="0"/>
    </xf>
    <xf numFmtId="173" fontId="12" fillId="0" borderId="93" xfId="0" applyNumberFormat="1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vertical="center"/>
      <protection locked="0"/>
    </xf>
    <xf numFmtId="173" fontId="12" fillId="0" borderId="31" xfId="0" applyNumberFormat="1" applyFont="1" applyBorder="1" applyAlignment="1" applyProtection="1">
      <alignment horizontal="center" vertical="center"/>
      <protection locked="0"/>
    </xf>
    <xf numFmtId="0" fontId="67" fillId="0" borderId="59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69" xfId="0" applyFont="1" applyBorder="1" applyAlignment="1" applyProtection="1">
      <alignment horizontal="left" vertical="center"/>
      <protection locked="0"/>
    </xf>
    <xf numFmtId="0" fontId="67" fillId="0" borderId="61" xfId="0" applyFont="1" applyBorder="1" applyAlignment="1" applyProtection="1">
      <alignment vertical="center"/>
      <protection locked="0"/>
    </xf>
    <xf numFmtId="0" fontId="68" fillId="0" borderId="12" xfId="0" applyFont="1" applyBorder="1" applyAlignment="1" applyProtection="1">
      <alignment horizontal="center" vertical="center"/>
      <protection locked="0"/>
    </xf>
    <xf numFmtId="0" fontId="68" fillId="0" borderId="51" xfId="0" applyFont="1" applyBorder="1" applyAlignment="1" applyProtection="1">
      <alignment horizontal="center" vertical="center"/>
      <protection locked="0"/>
    </xf>
    <xf numFmtId="173" fontId="12" fillId="0" borderId="12" xfId="0" applyNumberFormat="1" applyFont="1" applyFill="1" applyBorder="1" applyAlignment="1" applyProtection="1">
      <alignment horizontal="right" vertical="center"/>
      <protection locked="0"/>
    </xf>
    <xf numFmtId="1" fontId="12" fillId="0" borderId="27" xfId="0" applyNumberFormat="1" applyFont="1" applyBorder="1" applyAlignment="1" applyProtection="1">
      <alignment horizontal="center" vertical="center"/>
      <protection locked="0"/>
    </xf>
    <xf numFmtId="173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vertical="center" shrinkToFit="1"/>
      <protection locked="0"/>
    </xf>
    <xf numFmtId="0" fontId="12" fillId="0" borderId="65" xfId="0" applyFont="1" applyBorder="1" applyAlignment="1" applyProtection="1">
      <alignment horizontal="right" vertical="center"/>
      <protection locked="0"/>
    </xf>
    <xf numFmtId="0" fontId="12" fillId="0" borderId="57" xfId="0" applyFont="1" applyBorder="1" applyAlignment="1" applyProtection="1">
      <alignment vertical="center"/>
      <protection locked="0"/>
    </xf>
    <xf numFmtId="1" fontId="12" fillId="0" borderId="57" xfId="0" applyNumberFormat="1" applyFont="1" applyBorder="1" applyAlignment="1" applyProtection="1">
      <alignment horizontal="center" vertical="center"/>
      <protection locked="0"/>
    </xf>
    <xf numFmtId="173" fontId="14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7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3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vertical="center" shrinkToFit="1"/>
      <protection locked="0"/>
    </xf>
    <xf numFmtId="0" fontId="12" fillId="0" borderId="45" xfId="0" applyFont="1" applyBorder="1" applyAlignment="1" applyProtection="1">
      <alignment horizontal="right" vertical="center"/>
      <protection locked="0"/>
    </xf>
    <xf numFmtId="1" fontId="12" fillId="0" borderId="15" xfId="0" applyNumberFormat="1" applyFont="1" applyBorder="1" applyAlignment="1" applyProtection="1">
      <alignment horizontal="center" vertical="center"/>
      <protection locked="0"/>
    </xf>
    <xf numFmtId="173" fontId="14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>
      <alignment vertical="center"/>
    </xf>
    <xf numFmtId="0" fontId="8" fillId="0" borderId="65" xfId="0" applyFont="1" applyBorder="1" applyAlignment="1" applyProtection="1">
      <alignment horizontal="center" vertical="center"/>
      <protection locked="0"/>
    </xf>
    <xf numFmtId="173" fontId="12" fillId="0" borderId="21" xfId="0" applyNumberFormat="1" applyFont="1" applyBorder="1" applyAlignment="1">
      <alignment horizontal="left" vertical="center"/>
    </xf>
    <xf numFmtId="173" fontId="12" fillId="0" borderId="69" xfId="0" applyNumberFormat="1" applyFont="1" applyBorder="1" applyAlignment="1">
      <alignment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vertical="center" shrinkToFit="1"/>
      <protection locked="0"/>
    </xf>
    <xf numFmtId="0" fontId="12" fillId="0" borderId="51" xfId="0" applyFont="1" applyBorder="1" applyAlignment="1" applyProtection="1">
      <alignment horizontal="right" vertical="center"/>
      <protection locked="0"/>
    </xf>
    <xf numFmtId="0" fontId="12" fillId="0" borderId="70" xfId="0" applyFont="1" applyBorder="1" applyAlignment="1" applyProtection="1">
      <alignment vertical="center"/>
      <protection locked="0"/>
    </xf>
    <xf numFmtId="1" fontId="12" fillId="0" borderId="35" xfId="0" applyNumberFormat="1" applyFont="1" applyBorder="1" applyAlignment="1" applyProtection="1">
      <alignment horizontal="center" vertical="center"/>
      <protection locked="0"/>
    </xf>
    <xf numFmtId="173" fontId="14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>
      <alignment vertical="center"/>
    </xf>
    <xf numFmtId="0" fontId="8" fillId="0" borderId="45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vertical="center" shrinkToFit="1"/>
      <protection locked="0"/>
    </xf>
    <xf numFmtId="0" fontId="12" fillId="0" borderId="44" xfId="0" applyFont="1" applyBorder="1" applyAlignment="1" applyProtection="1">
      <alignment horizontal="right" vertical="center"/>
      <protection locked="0"/>
    </xf>
    <xf numFmtId="0" fontId="12" fillId="0" borderId="94" xfId="0" applyFont="1" applyBorder="1" applyAlignment="1" applyProtection="1">
      <alignment vertical="center"/>
      <protection locked="0"/>
    </xf>
    <xf numFmtId="1" fontId="12" fillId="0" borderId="82" xfId="0" applyNumberFormat="1" applyFont="1" applyBorder="1" applyAlignment="1" applyProtection="1">
      <alignment horizontal="center" vertical="center"/>
      <protection locked="0"/>
    </xf>
    <xf numFmtId="173" fontId="14" fillId="0" borderId="30" xfId="0" applyNumberFormat="1" applyFont="1" applyFill="1" applyBorder="1" applyAlignment="1" applyProtection="1">
      <alignment horizontal="center" vertical="center"/>
      <protection locked="0"/>
    </xf>
    <xf numFmtId="173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173" fontId="12" fillId="0" borderId="75" xfId="0" applyNumberFormat="1" applyFont="1" applyBorder="1" applyAlignment="1">
      <alignment vertical="center"/>
    </xf>
    <xf numFmtId="173" fontId="12" fillId="0" borderId="94" xfId="0" applyNumberFormat="1" applyFont="1" applyBorder="1" applyAlignment="1">
      <alignment vertical="center"/>
    </xf>
    <xf numFmtId="173" fontId="14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left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3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45" xfId="0" applyNumberFormat="1" applyFont="1" applyBorder="1" applyAlignment="1" applyProtection="1">
      <alignment horizontal="center" vertical="center"/>
      <protection locked="0"/>
    </xf>
    <xf numFmtId="173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vertical="center"/>
      <protection locked="0"/>
    </xf>
    <xf numFmtId="173" fontId="8" fillId="0" borderId="27" xfId="0" applyNumberFormat="1" applyFont="1" applyBorder="1" applyAlignment="1" applyProtection="1">
      <alignment horizontal="center" vertical="center"/>
      <protection locked="0"/>
    </xf>
    <xf numFmtId="173" fontId="70" fillId="0" borderId="68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vertical="center" shrinkToFit="1"/>
      <protection locked="0"/>
    </xf>
    <xf numFmtId="0" fontId="12" fillId="0" borderId="87" xfId="0" applyFont="1" applyBorder="1" applyAlignment="1" applyProtection="1">
      <alignment horizontal="right" vertical="center"/>
      <protection locked="0"/>
    </xf>
    <xf numFmtId="0" fontId="12" fillId="0" borderId="63" xfId="0" applyFont="1" applyBorder="1" applyAlignment="1" applyProtection="1">
      <alignment vertical="center"/>
      <protection locked="0"/>
    </xf>
    <xf numFmtId="1" fontId="12" fillId="0" borderId="63" xfId="0" applyNumberFormat="1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vertical="center"/>
      <protection locked="0"/>
    </xf>
    <xf numFmtId="173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173" fontId="8" fillId="0" borderId="20" xfId="0" applyNumberFormat="1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73" fontId="70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3" fontId="4" fillId="0" borderId="0" xfId="0" applyNumberFormat="1" applyFont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173" fontId="70" fillId="0" borderId="0" xfId="0" applyNumberFormat="1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3" fontId="10" fillId="0" borderId="60" xfId="0" applyNumberFormat="1" applyFont="1" applyBorder="1" applyAlignment="1" applyProtection="1">
      <alignment horizontal="center" vertical="center"/>
      <protection locked="0"/>
    </xf>
    <xf numFmtId="173" fontId="10" fillId="0" borderId="14" xfId="0" applyNumberFormat="1" applyFont="1" applyBorder="1" applyAlignment="1" applyProtection="1">
      <alignment horizontal="center" vertical="center"/>
      <protection locked="0"/>
    </xf>
    <xf numFmtId="173" fontId="10" fillId="0" borderId="91" xfId="0" applyNumberFormat="1" applyFont="1" applyBorder="1" applyAlignment="1" applyProtection="1">
      <alignment horizontal="center" vertical="center"/>
      <protection locked="0"/>
    </xf>
    <xf numFmtId="173" fontId="10" fillId="0" borderId="24" xfId="0" applyNumberFormat="1" applyFont="1" applyBorder="1" applyAlignment="1" applyProtection="1">
      <alignment horizontal="center" vertical="center"/>
      <protection locked="0"/>
    </xf>
    <xf numFmtId="173" fontId="8" fillId="0" borderId="49" xfId="0" applyNumberFormat="1" applyFont="1" applyBorder="1" applyAlignment="1" applyProtection="1">
      <alignment horizontal="center" vertical="center"/>
      <protection locked="0"/>
    </xf>
    <xf numFmtId="173" fontId="64" fillId="0" borderId="13" xfId="0" applyNumberFormat="1" applyFont="1" applyBorder="1" applyAlignment="1" applyProtection="1">
      <alignment horizontal="center" vertical="center"/>
      <protection locked="0"/>
    </xf>
    <xf numFmtId="173" fontId="11" fillId="0" borderId="57" xfId="0" applyNumberFormat="1" applyFont="1" applyBorder="1" applyAlignment="1" applyProtection="1">
      <alignment horizontal="center" vertical="center"/>
      <protection locked="0"/>
    </xf>
    <xf numFmtId="177" fontId="12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right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73" fontId="12" fillId="0" borderId="36" xfId="0" applyNumberFormat="1" applyFont="1" applyBorder="1" applyAlignment="1" applyProtection="1">
      <alignment horizontal="center" vertical="center"/>
      <protection locked="0"/>
    </xf>
    <xf numFmtId="173" fontId="12" fillId="0" borderId="15" xfId="0" applyNumberFormat="1" applyFont="1" applyBorder="1" applyAlignment="1" applyProtection="1">
      <alignment horizontal="center" vertical="center"/>
      <protection locked="0"/>
    </xf>
    <xf numFmtId="173" fontId="12" fillId="0" borderId="57" xfId="0" applyNumberFormat="1" applyFont="1" applyBorder="1" applyAlignment="1" applyProtection="1">
      <alignment horizontal="center" vertical="center"/>
      <protection locked="0"/>
    </xf>
    <xf numFmtId="1" fontId="4" fillId="0" borderId="70" xfId="0" applyNumberFormat="1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left" vertical="center"/>
      <protection locked="0"/>
    </xf>
    <xf numFmtId="173" fontId="11" fillId="0" borderId="15" xfId="0" applyNumberFormat="1" applyFont="1" applyBorder="1" applyAlignment="1" applyProtection="1">
      <alignment horizontal="center" vertical="center"/>
      <protection locked="0"/>
    </xf>
    <xf numFmtId="177" fontId="12" fillId="0" borderId="49" xfId="0" applyNumberFormat="1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right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173" fontId="12" fillId="0" borderId="49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77" fontId="12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173" fontId="12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73" fontId="12" fillId="0" borderId="35" xfId="0" applyNumberFormat="1" applyFont="1" applyBorder="1" applyAlignment="1" applyProtection="1">
      <alignment horizontal="center" vertical="center"/>
      <protection locked="0"/>
    </xf>
    <xf numFmtId="173" fontId="12" fillId="0" borderId="82" xfId="0" applyNumberFormat="1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173" fontId="12" fillId="0" borderId="48" xfId="0" applyNumberFormat="1" applyFont="1" applyBorder="1" applyAlignment="1" applyProtection="1">
      <alignment horizontal="center" vertical="center"/>
      <protection locked="0"/>
    </xf>
    <xf numFmtId="176" fontId="12" fillId="0" borderId="37" xfId="0" applyNumberFormat="1" applyFont="1" applyBorder="1" applyAlignment="1" applyProtection="1">
      <alignment horizontal="center" vertical="center"/>
      <protection locked="0"/>
    </xf>
    <xf numFmtId="173" fontId="11" fillId="0" borderId="63" xfId="0" applyNumberFormat="1" applyFont="1" applyBorder="1" applyAlignment="1" applyProtection="1">
      <alignment horizontal="center" vertical="center"/>
      <protection locked="0"/>
    </xf>
    <xf numFmtId="173" fontId="12" fillId="0" borderId="63" xfId="0" applyNumberFormat="1" applyFont="1" applyBorder="1" applyAlignment="1" applyProtection="1">
      <alignment horizontal="center" vertical="center"/>
      <protection locked="0"/>
    </xf>
    <xf numFmtId="173" fontId="11" fillId="0" borderId="35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176" fontId="12" fillId="0" borderId="50" xfId="0" applyNumberFormat="1" applyFont="1" applyBorder="1" applyAlignment="1" applyProtection="1">
      <alignment horizontal="center" vertical="center"/>
      <protection locked="0"/>
    </xf>
    <xf numFmtId="173" fontId="8" fillId="0" borderId="72" xfId="0" applyNumberFormat="1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95" xfId="0" applyFont="1" applyBorder="1" applyAlignment="1" applyProtection="1">
      <alignment horizontal="center" vertical="center"/>
      <protection locked="0"/>
    </xf>
    <xf numFmtId="173" fontId="8" fillId="0" borderId="96" xfId="0" applyNumberFormat="1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73" fontId="12" fillId="0" borderId="20" xfId="0" applyNumberFormat="1" applyFont="1" applyBorder="1" applyAlignment="1" applyProtection="1">
      <alignment horizontal="center" vertical="center"/>
      <protection hidden="1" locked="0"/>
    </xf>
    <xf numFmtId="0" fontId="8" fillId="0" borderId="73" xfId="0" applyFont="1" applyBorder="1" applyAlignment="1" applyProtection="1">
      <alignment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37" fontId="8" fillId="0" borderId="20" xfId="43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37" fontId="8" fillId="0" borderId="22" xfId="43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1" fontId="8" fillId="0" borderId="57" xfId="0" applyNumberFormat="1" applyFont="1" applyBorder="1" applyAlignment="1" applyProtection="1">
      <alignment horizontal="center" vertical="center"/>
      <protection locked="0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1" fontId="8" fillId="0" borderId="35" xfId="0" applyNumberFormat="1" applyFont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 applyProtection="1">
      <alignment horizontal="center" vertical="center"/>
      <protection locked="0"/>
    </xf>
    <xf numFmtId="37" fontId="8" fillId="0" borderId="27" xfId="43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73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locked="0"/>
    </xf>
    <xf numFmtId="173" fontId="8" fillId="0" borderId="18" xfId="0" applyNumberFormat="1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74" fillId="0" borderId="57" xfId="0" applyFont="1" applyBorder="1" applyAlignment="1" applyProtection="1">
      <alignment horizontal="center" vertical="center"/>
      <protection locked="0"/>
    </xf>
    <xf numFmtId="173" fontId="12" fillId="0" borderId="36" xfId="0" applyNumberFormat="1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left" vertical="center"/>
      <protection locked="0"/>
    </xf>
    <xf numFmtId="1" fontId="12" fillId="0" borderId="44" xfId="0" applyNumberFormat="1" applyFont="1" applyBorder="1" applyAlignment="1" applyProtection="1">
      <alignment horizontal="right" vertical="center"/>
      <protection locked="0"/>
    </xf>
    <xf numFmtId="173" fontId="12" fillId="0" borderId="49" xfId="0" applyNumberFormat="1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center" vertical="center"/>
      <protection locked="0"/>
    </xf>
    <xf numFmtId="173" fontId="12" fillId="0" borderId="37" xfId="0" applyNumberFormat="1" applyFont="1" applyBorder="1" applyAlignment="1" applyProtection="1">
      <alignment horizontal="center" vertical="center"/>
      <protection locked="0"/>
    </xf>
    <xf numFmtId="1" fontId="12" fillId="0" borderId="45" xfId="0" applyNumberFormat="1" applyFont="1" applyBorder="1" applyAlignment="1" applyProtection="1">
      <alignment horizontal="right" vertical="center"/>
      <protection locked="0"/>
    </xf>
    <xf numFmtId="173" fontId="12" fillId="0" borderId="37" xfId="0" applyNumberFormat="1" applyFont="1" applyBorder="1" applyAlignment="1" applyProtection="1">
      <alignment horizontal="righ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1" fontId="12" fillId="0" borderId="51" xfId="0" applyNumberFormat="1" applyFont="1" applyBorder="1" applyAlignment="1" applyProtection="1">
      <alignment horizontal="right" vertical="center"/>
      <protection locked="0"/>
    </xf>
    <xf numFmtId="173" fontId="12" fillId="0" borderId="50" xfId="0" applyNumberFormat="1" applyFont="1" applyBorder="1" applyAlignment="1" applyProtection="1">
      <alignment horizontal="right" vertical="center"/>
      <protection locked="0"/>
    </xf>
    <xf numFmtId="173" fontId="64" fillId="0" borderId="60" xfId="0" applyNumberFormat="1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63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74" fillId="0" borderId="63" xfId="0" applyFont="1" applyBorder="1" applyAlignment="1" applyProtection="1">
      <alignment horizontal="center" vertical="center"/>
      <protection locked="0"/>
    </xf>
    <xf numFmtId="173" fontId="12" fillId="0" borderId="50" xfId="0" applyNumberFormat="1" applyFont="1" applyBorder="1" applyAlignment="1" applyProtection="1">
      <alignment horizontal="center" vertical="center"/>
      <protection locked="0"/>
    </xf>
    <xf numFmtId="1" fontId="12" fillId="0" borderId="65" xfId="0" applyNumberFormat="1" applyFont="1" applyBorder="1" applyAlignment="1" applyProtection="1">
      <alignment horizontal="right" vertical="center"/>
      <protection locked="0"/>
    </xf>
    <xf numFmtId="173" fontId="12" fillId="0" borderId="36" xfId="0" applyNumberFormat="1" applyFont="1" applyBorder="1" applyAlignment="1" applyProtection="1">
      <alignment horizontal="right" vertical="center"/>
      <protection locked="0"/>
    </xf>
    <xf numFmtId="173" fontId="4" fillId="0" borderId="6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74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74" fillId="0" borderId="82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1" fontId="12" fillId="0" borderId="17" xfId="0" applyNumberFormat="1" applyFont="1" applyBorder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right" vertical="center"/>
      <protection locked="0"/>
    </xf>
    <xf numFmtId="173" fontId="12" fillId="0" borderId="14" xfId="0" applyNumberFormat="1" applyFont="1" applyBorder="1" applyAlignment="1" applyProtection="1">
      <alignment horizontal="right" vertical="center"/>
      <protection locked="0"/>
    </xf>
    <xf numFmtId="37" fontId="12" fillId="0" borderId="36" xfId="43" applyNumberFormat="1" applyFont="1" applyBorder="1" applyAlignment="1" applyProtection="1">
      <alignment horizontal="right" vertical="center"/>
      <protection locked="0"/>
    </xf>
    <xf numFmtId="37" fontId="12" fillId="0" borderId="37" xfId="43" applyNumberFormat="1" applyFont="1" applyBorder="1" applyAlignment="1" applyProtection="1">
      <alignment horizontal="right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173" fontId="12" fillId="0" borderId="49" xfId="0" applyNumberFormat="1" applyFont="1" applyBorder="1" applyAlignment="1" applyProtection="1">
      <alignment horizontal="right" vertical="center"/>
      <protection locked="0"/>
    </xf>
    <xf numFmtId="173" fontId="12" fillId="0" borderId="48" xfId="0" applyNumberFormat="1" applyFont="1" applyBorder="1" applyAlignment="1" applyProtection="1">
      <alignment horizontal="right" vertical="center"/>
      <protection locked="0"/>
    </xf>
    <xf numFmtId="173" fontId="12" fillId="0" borderId="37" xfId="0" applyNumberFormat="1" applyFont="1" applyBorder="1" applyAlignment="1" applyProtection="1">
      <alignment horizontal="right" vertical="center"/>
      <protection locked="0"/>
    </xf>
    <xf numFmtId="173" fontId="12" fillId="0" borderId="31" xfId="0" applyNumberFormat="1" applyFont="1" applyBorder="1" applyAlignment="1" applyProtection="1">
      <alignment horizontal="right" vertical="center"/>
      <protection locked="0"/>
    </xf>
    <xf numFmtId="37" fontId="12" fillId="0" borderId="50" xfId="43" applyNumberFormat="1" applyFont="1" applyBorder="1" applyAlignment="1" applyProtection="1">
      <alignment horizontal="right" vertical="center"/>
      <protection locked="0"/>
    </xf>
    <xf numFmtId="173" fontId="12" fillId="0" borderId="50" xfId="0" applyNumberFormat="1" applyFont="1" applyBorder="1" applyAlignment="1" applyProtection="1">
      <alignment horizontal="right" vertical="center"/>
      <protection locked="0"/>
    </xf>
    <xf numFmtId="173" fontId="12" fillId="0" borderId="33" xfId="0" applyNumberFormat="1" applyFont="1" applyBorder="1" applyAlignment="1" applyProtection="1">
      <alignment horizontal="right" vertical="center"/>
      <protection locked="0"/>
    </xf>
    <xf numFmtId="0" fontId="8" fillId="0" borderId="80" xfId="0" applyFont="1" applyBorder="1" applyAlignment="1" applyProtection="1">
      <alignment horizontal="left" vertical="center"/>
      <protection locked="0"/>
    </xf>
    <xf numFmtId="1" fontId="12" fillId="0" borderId="97" xfId="0" applyNumberFormat="1" applyFont="1" applyBorder="1" applyAlignment="1" applyProtection="1">
      <alignment horizontal="right" vertical="center"/>
      <protection locked="0"/>
    </xf>
    <xf numFmtId="37" fontId="12" fillId="0" borderId="52" xfId="43" applyNumberFormat="1" applyFont="1" applyBorder="1" applyAlignment="1" applyProtection="1">
      <alignment horizontal="right" vertical="center"/>
      <protection locked="0"/>
    </xf>
    <xf numFmtId="173" fontId="10" fillId="0" borderId="4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3" fontId="8" fillId="0" borderId="40" xfId="0" applyNumberFormat="1" applyFont="1" applyBorder="1" applyAlignment="1" applyProtection="1">
      <alignment horizontal="center" vertical="center"/>
      <protection locked="0"/>
    </xf>
    <xf numFmtId="14" fontId="9" fillId="0" borderId="40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173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right" vertical="center"/>
      <protection locked="0"/>
    </xf>
    <xf numFmtId="173" fontId="8" fillId="0" borderId="18" xfId="0" applyNumberFormat="1" applyFont="1" applyFill="1" applyBorder="1" applyAlignment="1" applyProtection="1">
      <alignment horizontal="right" vertical="center"/>
      <protection locked="0"/>
    </xf>
    <xf numFmtId="49" fontId="8" fillId="24" borderId="19" xfId="0" applyNumberFormat="1" applyFont="1" applyFill="1" applyBorder="1" applyAlignment="1" applyProtection="1">
      <alignment horizontal="left" vertical="center"/>
      <protection locked="0"/>
    </xf>
    <xf numFmtId="49" fontId="12" fillId="24" borderId="36" xfId="0" applyNumberFormat="1" applyFont="1" applyFill="1" applyBorder="1" applyAlignment="1" applyProtection="1">
      <alignment horizontal="center" vertical="center"/>
      <protection locked="0"/>
    </xf>
    <xf numFmtId="49" fontId="12" fillId="24" borderId="10" xfId="0" applyNumberFormat="1" applyFont="1" applyFill="1" applyBorder="1" applyAlignment="1" applyProtection="1">
      <alignment horizontal="center"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12" fillId="24" borderId="37" xfId="0" applyNumberFormat="1" applyFont="1" applyFill="1" applyBorder="1" applyAlignment="1" applyProtection="1">
      <alignment horizontal="center" vertical="center"/>
      <protection locked="0"/>
    </xf>
    <xf numFmtId="49" fontId="12" fillId="24" borderId="11" xfId="0" applyNumberFormat="1" applyFont="1" applyFill="1" applyBorder="1" applyAlignment="1" applyProtection="1">
      <alignment horizontal="center" vertical="center"/>
      <protection locked="0"/>
    </xf>
    <xf numFmtId="49" fontId="8" fillId="24" borderId="32" xfId="0" applyNumberFormat="1" applyFont="1" applyFill="1" applyBorder="1" applyAlignment="1" applyProtection="1">
      <alignment horizontal="left" vertical="center"/>
      <protection locked="0"/>
    </xf>
    <xf numFmtId="49" fontId="12" fillId="24" borderId="50" xfId="0" applyNumberFormat="1" applyFont="1" applyFill="1" applyBorder="1" applyAlignment="1" applyProtection="1">
      <alignment horizontal="center" vertical="center"/>
      <protection locked="0"/>
    </xf>
    <xf numFmtId="49" fontId="12" fillId="2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98" xfId="0" applyFont="1" applyBorder="1" applyAlignment="1" applyProtection="1">
      <alignment horizontal="left" vertical="center"/>
      <protection locked="0"/>
    </xf>
    <xf numFmtId="173" fontId="8" fillId="0" borderId="72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173" fontId="8" fillId="0" borderId="56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173" fontId="8" fillId="0" borderId="60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left" vertical="center"/>
      <protection locked="0"/>
    </xf>
    <xf numFmtId="173" fontId="8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7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73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right" vertical="center"/>
      <protection locked="0"/>
    </xf>
    <xf numFmtId="0" fontId="54" fillId="0" borderId="0" xfId="0" applyFont="1" applyAlignment="1" applyProtection="1">
      <alignment/>
      <protection locked="0"/>
    </xf>
    <xf numFmtId="1" fontId="77" fillId="0" borderId="0" xfId="0" applyNumberFormat="1" applyFont="1" applyBorder="1" applyAlignment="1" applyProtection="1">
      <alignment vertical="center"/>
      <protection locked="0"/>
    </xf>
    <xf numFmtId="173" fontId="53" fillId="0" borderId="0" xfId="0" applyNumberFormat="1" applyFont="1" applyBorder="1" applyAlignment="1" applyProtection="1">
      <alignment vertical="center"/>
      <protection locked="0"/>
    </xf>
    <xf numFmtId="0" fontId="62" fillId="0" borderId="0" xfId="0" applyNumberFormat="1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78" fillId="0" borderId="0" xfId="0" applyNumberFormat="1" applyFont="1" applyAlignment="1" applyProtection="1">
      <alignment vertical="center"/>
      <protection locked="0"/>
    </xf>
    <xf numFmtId="1" fontId="78" fillId="0" borderId="0" xfId="0" applyNumberFormat="1" applyFont="1" applyAlignment="1" applyProtection="1">
      <alignment vertical="center"/>
      <protection locked="0"/>
    </xf>
    <xf numFmtId="0" fontId="10" fillId="22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73" fontId="11" fillId="0" borderId="36" xfId="0" applyNumberFormat="1" applyFont="1" applyBorder="1" applyAlignment="1" applyProtection="1">
      <alignment vertical="center"/>
      <protection locked="0"/>
    </xf>
    <xf numFmtId="173" fontId="11" fillId="0" borderId="49" xfId="0" applyNumberFormat="1" applyFont="1" applyBorder="1" applyAlignment="1" applyProtection="1">
      <alignment vertical="center"/>
      <protection locked="0"/>
    </xf>
    <xf numFmtId="173" fontId="11" fillId="0" borderId="43" xfId="0" applyNumberFormat="1" applyFont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173" fontId="11" fillId="0" borderId="37" xfId="0" applyNumberFormat="1" applyFont="1" applyBorder="1" applyAlignment="1" applyProtection="1">
      <alignment vertical="center"/>
      <protection locked="0"/>
    </xf>
    <xf numFmtId="173" fontId="11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173" fontId="11" fillId="0" borderId="99" xfId="0" applyNumberFormat="1" applyFont="1" applyBorder="1" applyAlignment="1" applyProtection="1">
      <alignment vertical="center"/>
      <protection locked="0"/>
    </xf>
    <xf numFmtId="173" fontId="11" fillId="0" borderId="99" xfId="0" applyNumberFormat="1" applyFont="1" applyBorder="1" applyAlignment="1" applyProtection="1">
      <alignment horizontal="center" vertical="center"/>
      <protection locked="0"/>
    </xf>
    <xf numFmtId="174" fontId="8" fillId="22" borderId="100" xfId="0" applyNumberFormat="1" applyFont="1" applyFill="1" applyBorder="1" applyAlignment="1" applyProtection="1">
      <alignment horizontal="center" vertical="center" wrapText="1"/>
      <protection locked="0"/>
    </xf>
    <xf numFmtId="0" fontId="8" fillId="22" borderId="100" xfId="0" applyFont="1" applyFill="1" applyBorder="1" applyAlignment="1" applyProtection="1">
      <alignment horizontal="center" vertical="center" wrapText="1"/>
      <protection locked="0"/>
    </xf>
    <xf numFmtId="1" fontId="8" fillId="22" borderId="100" xfId="0" applyNumberFormat="1" applyFont="1" applyFill="1" applyBorder="1" applyAlignment="1" applyProtection="1">
      <alignment horizontal="center" vertical="center" wrapText="1"/>
      <protection locked="0"/>
    </xf>
    <xf numFmtId="0" fontId="54" fillId="22" borderId="0" xfId="0" applyFont="1" applyFill="1" applyAlignment="1" applyProtection="1">
      <alignment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173" fontId="11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vertical="center"/>
      <protection locked="0"/>
    </xf>
    <xf numFmtId="173" fontId="11" fillId="0" borderId="36" xfId="0" applyNumberFormat="1" applyFont="1" applyBorder="1" applyAlignment="1" applyProtection="1">
      <alignment horizontal="right" vertical="center"/>
      <protection locked="0"/>
    </xf>
    <xf numFmtId="173" fontId="11" fillId="0" borderId="41" xfId="0" applyNumberFormat="1" applyFont="1" applyBorder="1" applyAlignment="1" applyProtection="1">
      <alignment horizontal="center" vertical="center"/>
      <protection locked="0"/>
    </xf>
    <xf numFmtId="173" fontId="11" fillId="0" borderId="37" xfId="0" applyNumberFormat="1" applyFont="1" applyBorder="1" applyAlignment="1" applyProtection="1">
      <alignment horizontal="right"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173" fontId="11" fillId="0" borderId="50" xfId="0" applyNumberFormat="1" applyFont="1" applyBorder="1" applyAlignment="1" applyProtection="1">
      <alignment horizontal="center" vertical="center"/>
      <protection locked="0"/>
    </xf>
    <xf numFmtId="173" fontId="11" fillId="0" borderId="50" xfId="0" applyNumberFormat="1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173" fontId="11" fillId="0" borderId="49" xfId="0" applyNumberFormat="1" applyFont="1" applyBorder="1" applyAlignment="1" applyProtection="1">
      <alignment horizontal="righ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174" fontId="13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4" xfId="0" applyFont="1" applyFill="1" applyBorder="1" applyAlignment="1" applyProtection="1">
      <alignment horizontal="center" vertical="center"/>
      <protection locked="0"/>
    </xf>
    <xf numFmtId="174" fontId="11" fillId="0" borderId="19" xfId="0" applyNumberFormat="1" applyFont="1" applyBorder="1" applyAlignment="1" applyProtection="1">
      <alignment horizontal="left" vertical="center" wrapText="1"/>
      <protection locked="0"/>
    </xf>
    <xf numFmtId="173" fontId="11" fillId="0" borderId="36" xfId="0" applyNumberFormat="1" applyFont="1" applyBorder="1" applyAlignment="1" applyProtection="1">
      <alignment horizontal="center" vertical="center" wrapText="1"/>
      <protection locked="0"/>
    </xf>
    <xf numFmtId="173" fontId="11" fillId="0" borderId="10" xfId="0" applyNumberFormat="1" applyFont="1" applyBorder="1" applyAlignment="1" applyProtection="1">
      <alignment horizontal="center" vertical="center" wrapText="1"/>
      <protection locked="0"/>
    </xf>
    <xf numFmtId="173" fontId="11" fillId="0" borderId="10" xfId="0" applyNumberFormat="1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30" xfId="0" applyFont="1" applyBorder="1" applyAlignment="1">
      <alignment/>
    </xf>
    <xf numFmtId="173" fontId="11" fillId="0" borderId="19" xfId="0" applyNumberFormat="1" applyFont="1" applyBorder="1" applyAlignment="1" applyProtection="1">
      <alignment horizontal="right" vertical="center" wrapText="1"/>
      <protection locked="0"/>
    </xf>
    <xf numFmtId="1" fontId="79" fillId="0" borderId="30" xfId="0" applyNumberFormat="1" applyFont="1" applyBorder="1" applyAlignment="1">
      <alignment horizontal="center" vertical="center"/>
    </xf>
    <xf numFmtId="174" fontId="11" fillId="0" borderId="21" xfId="0" applyNumberFormat="1" applyFont="1" applyBorder="1" applyAlignment="1" applyProtection="1">
      <alignment horizontal="left" vertical="center" wrapText="1"/>
      <protection locked="0"/>
    </xf>
    <xf numFmtId="173" fontId="11" fillId="0" borderId="37" xfId="0" applyNumberFormat="1" applyFont="1" applyBorder="1" applyAlignment="1" applyProtection="1">
      <alignment horizontal="center" vertical="center" wrapText="1"/>
      <protection locked="0"/>
    </xf>
    <xf numFmtId="173" fontId="11" fillId="0" borderId="11" xfId="0" applyNumberFormat="1" applyFont="1" applyBorder="1" applyAlignment="1" applyProtection="1">
      <alignment horizontal="center" vertical="center" wrapText="1"/>
      <protection locked="0"/>
    </xf>
    <xf numFmtId="173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31" xfId="0" applyFont="1" applyBorder="1" applyAlignment="1">
      <alignment/>
    </xf>
    <xf numFmtId="173" fontId="11" fillId="0" borderId="21" xfId="43" applyNumberFormat="1" applyFont="1" applyBorder="1" applyAlignment="1" applyProtection="1">
      <alignment horizontal="right" vertical="center"/>
      <protection locked="0"/>
    </xf>
    <xf numFmtId="1" fontId="79" fillId="0" borderId="31" xfId="0" applyNumberFormat="1" applyFont="1" applyBorder="1" applyAlignment="1">
      <alignment horizontal="center" vertical="center"/>
    </xf>
    <xf numFmtId="174" fontId="11" fillId="0" borderId="101" xfId="0" applyNumberFormat="1" applyFont="1" applyBorder="1" applyAlignment="1" applyProtection="1">
      <alignment horizontal="left" vertical="center" wrapText="1"/>
      <protection locked="0"/>
    </xf>
    <xf numFmtId="173" fontId="11" fillId="0" borderId="102" xfId="0" applyNumberFormat="1" applyFont="1" applyBorder="1" applyAlignment="1" applyProtection="1">
      <alignment horizontal="center" vertical="center" wrapText="1"/>
      <protection locked="0"/>
    </xf>
    <xf numFmtId="173" fontId="11" fillId="0" borderId="103" xfId="0" applyNumberFormat="1" applyFont="1" applyBorder="1" applyAlignment="1" applyProtection="1">
      <alignment horizontal="center" vertical="center" wrapText="1"/>
      <protection locked="0"/>
    </xf>
    <xf numFmtId="173" fontId="11" fillId="0" borderId="103" xfId="0" applyNumberFormat="1" applyFont="1" applyBorder="1" applyAlignment="1" applyProtection="1">
      <alignment horizontal="center" vertical="center"/>
      <protection locked="0"/>
    </xf>
    <xf numFmtId="1" fontId="11" fillId="0" borderId="103" xfId="0" applyNumberFormat="1" applyFont="1" applyBorder="1" applyAlignment="1" applyProtection="1">
      <alignment horizontal="right" vertical="center" wrapText="1"/>
      <protection locked="0"/>
    </xf>
    <xf numFmtId="0" fontId="0" fillId="0" borderId="104" xfId="0" applyFont="1" applyBorder="1" applyAlignment="1">
      <alignment/>
    </xf>
    <xf numFmtId="173" fontId="11" fillId="0" borderId="101" xfId="43" applyNumberFormat="1" applyFont="1" applyBorder="1" applyAlignment="1" applyProtection="1">
      <alignment horizontal="right" vertical="center"/>
      <protection locked="0"/>
    </xf>
    <xf numFmtId="174" fontId="11" fillId="0" borderId="42" xfId="0" applyNumberFormat="1" applyFont="1" applyBorder="1" applyAlignment="1" applyProtection="1">
      <alignment horizontal="left" vertical="center" wrapText="1"/>
      <protection locked="0"/>
    </xf>
    <xf numFmtId="173" fontId="11" fillId="0" borderId="43" xfId="43" applyNumberFormat="1" applyFont="1" applyBorder="1" applyAlignment="1" applyProtection="1">
      <alignment horizontal="center" vertical="center"/>
      <protection locked="0"/>
    </xf>
    <xf numFmtId="173" fontId="11" fillId="0" borderId="90" xfId="43" applyNumberFormat="1" applyFont="1" applyBorder="1" applyAlignment="1" applyProtection="1">
      <alignment horizontal="center" vertical="center"/>
      <protection locked="0"/>
    </xf>
    <xf numFmtId="173" fontId="11" fillId="0" borderId="90" xfId="43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/>
    </xf>
    <xf numFmtId="173" fontId="11" fillId="0" borderId="42" xfId="43" applyNumberFormat="1" applyFont="1" applyBorder="1" applyAlignment="1" applyProtection="1">
      <alignment horizontal="right" vertical="center"/>
      <protection locked="0"/>
    </xf>
    <xf numFmtId="174" fontId="13" fillId="22" borderId="100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0" xfId="0" applyFont="1" applyFill="1" applyBorder="1" applyAlignment="1" applyProtection="1">
      <alignment horizontal="center" vertical="center" wrapText="1"/>
      <protection locked="0"/>
    </xf>
    <xf numFmtId="0" fontId="13" fillId="22" borderId="105" xfId="0" applyFont="1" applyFill="1" applyBorder="1" applyAlignment="1" applyProtection="1">
      <alignment horizontal="center" vertical="center" wrapText="1"/>
      <protection locked="0"/>
    </xf>
    <xf numFmtId="174" fontId="13" fillId="22" borderId="10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vertical="center"/>
      <protection locked="0"/>
    </xf>
    <xf numFmtId="173" fontId="11" fillId="0" borderId="36" xfId="43" applyNumberFormat="1" applyFont="1" applyBorder="1" applyAlignment="1" applyProtection="1">
      <alignment horizontal="center" vertical="center"/>
      <protection locked="0"/>
    </xf>
    <xf numFmtId="173" fontId="11" fillId="0" borderId="36" xfId="43" applyNumberFormat="1" applyFont="1" applyBorder="1" applyAlignment="1" applyProtection="1">
      <alignment horizontal="center" vertical="center"/>
      <protection locked="0"/>
    </xf>
    <xf numFmtId="173" fontId="11" fillId="0" borderId="37" xfId="43" applyNumberFormat="1" applyFont="1" applyBorder="1" applyAlignment="1" applyProtection="1">
      <alignment horizontal="center" vertical="center"/>
      <protection locked="0"/>
    </xf>
    <xf numFmtId="173" fontId="11" fillId="0" borderId="37" xfId="43" applyNumberFormat="1" applyFont="1" applyBorder="1" applyAlignment="1" applyProtection="1">
      <alignment horizontal="center" vertical="center"/>
      <protection locked="0"/>
    </xf>
    <xf numFmtId="0" fontId="11" fillId="0" borderId="102" xfId="0" applyFont="1" applyBorder="1" applyAlignment="1" applyProtection="1">
      <alignment vertical="center"/>
      <protection locked="0"/>
    </xf>
    <xf numFmtId="173" fontId="11" fillId="0" borderId="102" xfId="43" applyNumberFormat="1" applyFont="1" applyBorder="1" applyAlignment="1" applyProtection="1">
      <alignment horizontal="center" vertical="center"/>
      <protection locked="0"/>
    </xf>
    <xf numFmtId="0" fontId="11" fillId="0" borderId="106" xfId="0" applyFont="1" applyBorder="1" applyAlignment="1" applyProtection="1">
      <alignment vertical="center"/>
      <protection locked="0"/>
    </xf>
    <xf numFmtId="173" fontId="11" fillId="0" borderId="106" xfId="43" applyNumberFormat="1" applyFont="1" applyBorder="1" applyAlignment="1" applyProtection="1">
      <alignment horizontal="center" vertical="center"/>
      <protection locked="0"/>
    </xf>
    <xf numFmtId="173" fontId="11" fillId="0" borderId="106" xfId="43" applyNumberFormat="1" applyFont="1" applyBorder="1" applyAlignment="1" applyProtection="1">
      <alignment horizontal="center" vertical="center"/>
      <protection locked="0"/>
    </xf>
    <xf numFmtId="173" fontId="11" fillId="0" borderId="102" xfId="43" applyNumberFormat="1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173" fontId="11" fillId="0" borderId="49" xfId="43" applyNumberFormat="1" applyFont="1" applyBorder="1" applyAlignment="1" applyProtection="1">
      <alignment horizontal="center" vertical="center"/>
      <protection locked="0"/>
    </xf>
    <xf numFmtId="173" fontId="11" fillId="0" borderId="49" xfId="43" applyNumberFormat="1" applyFont="1" applyBorder="1" applyAlignment="1" applyProtection="1">
      <alignment horizontal="right" vertical="center"/>
      <protection locked="0"/>
    </xf>
    <xf numFmtId="173" fontId="11" fillId="0" borderId="49" xfId="43" applyNumberFormat="1" applyFont="1" applyBorder="1" applyAlignment="1" applyProtection="1">
      <alignment horizontal="left" vertical="center"/>
      <protection locked="0"/>
    </xf>
    <xf numFmtId="173" fontId="11" fillId="0" borderId="37" xfId="43" applyNumberFormat="1" applyFont="1" applyBorder="1" applyAlignment="1" applyProtection="1">
      <alignment horizontal="right" vertical="center"/>
      <protection locked="0"/>
    </xf>
    <xf numFmtId="173" fontId="11" fillId="0" borderId="37" xfId="43" applyNumberFormat="1" applyFont="1" applyBorder="1" applyAlignment="1" applyProtection="1">
      <alignment horizontal="left" vertical="center"/>
      <protection locked="0"/>
    </xf>
    <xf numFmtId="173" fontId="11" fillId="0" borderId="102" xfId="43" applyNumberFormat="1" applyFont="1" applyBorder="1" applyAlignment="1" applyProtection="1">
      <alignment horizontal="right" vertical="center"/>
      <protection locked="0"/>
    </xf>
    <xf numFmtId="173" fontId="11" fillId="0" borderId="102" xfId="43" applyNumberFormat="1" applyFont="1" applyBorder="1" applyAlignment="1" applyProtection="1">
      <alignment horizontal="left" vertical="center"/>
      <protection locked="0"/>
    </xf>
    <xf numFmtId="0" fontId="11" fillId="0" borderId="107" xfId="0" applyFont="1" applyBorder="1" applyAlignment="1" applyProtection="1">
      <alignment vertical="center"/>
      <protection locked="0"/>
    </xf>
    <xf numFmtId="173" fontId="11" fillId="0" borderId="108" xfId="43" applyNumberFormat="1" applyFont="1" applyBorder="1" applyAlignment="1" applyProtection="1">
      <alignment horizontal="center" vertical="center"/>
      <protection locked="0"/>
    </xf>
    <xf numFmtId="173" fontId="11" fillId="0" borderId="64" xfId="43" applyNumberFormat="1" applyFont="1" applyBorder="1" applyAlignment="1" applyProtection="1">
      <alignment horizontal="center" vertical="center"/>
      <protection locked="0"/>
    </xf>
    <xf numFmtId="173" fontId="11" fillId="0" borderId="107" xfId="43" applyNumberFormat="1" applyFont="1" applyBorder="1" applyAlignment="1" applyProtection="1">
      <alignment horizontal="center" vertical="center"/>
      <protection locked="0"/>
    </xf>
    <xf numFmtId="173" fontId="11" fillId="0" borderId="107" xfId="43" applyNumberFormat="1" applyFont="1" applyBorder="1" applyAlignment="1" applyProtection="1">
      <alignment horizontal="right" vertical="center"/>
      <protection locked="0"/>
    </xf>
    <xf numFmtId="173" fontId="11" fillId="0" borderId="108" xfId="43" applyNumberFormat="1" applyFont="1" applyBorder="1" applyAlignment="1" applyProtection="1">
      <alignment horizontal="left" vertical="center"/>
      <protection locked="0"/>
    </xf>
    <xf numFmtId="174" fontId="13" fillId="22" borderId="109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9" xfId="0" applyFont="1" applyFill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left" vertical="center"/>
      <protection locked="0"/>
    </xf>
    <xf numFmtId="173" fontId="11" fillId="0" borderId="25" xfId="43" applyNumberFormat="1" applyFont="1" applyBorder="1" applyAlignment="1" applyProtection="1">
      <alignment horizontal="center" vertical="center"/>
      <protection locked="0"/>
    </xf>
    <xf numFmtId="173" fontId="11" fillId="0" borderId="75" xfId="43" applyNumberFormat="1" applyFont="1" applyBorder="1" applyAlignment="1" applyProtection="1">
      <alignment horizontal="center" vertical="center"/>
      <protection locked="0"/>
    </xf>
    <xf numFmtId="173" fontId="11" fillId="0" borderId="75" xfId="43" applyNumberFormat="1" applyFont="1" applyBorder="1" applyAlignment="1" applyProtection="1">
      <alignment horizontal="right" vertical="center"/>
      <protection locked="0"/>
    </xf>
    <xf numFmtId="173" fontId="11" fillId="0" borderId="82" xfId="43" applyNumberFormat="1" applyFont="1" applyBorder="1" applyAlignment="1" applyProtection="1">
      <alignment horizontal="center" vertical="center"/>
      <protection locked="0"/>
    </xf>
    <xf numFmtId="173" fontId="11" fillId="0" borderId="82" xfId="43" applyNumberFormat="1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173" fontId="11" fillId="0" borderId="29" xfId="43" applyNumberFormat="1" applyFont="1" applyBorder="1" applyAlignment="1" applyProtection="1">
      <alignment horizontal="center" vertical="center"/>
      <protection locked="0"/>
    </xf>
    <xf numFmtId="173" fontId="11" fillId="0" borderId="28" xfId="43" applyNumberFormat="1" applyFont="1" applyBorder="1" applyAlignment="1" applyProtection="1">
      <alignment horizontal="center" vertical="center"/>
      <protection locked="0"/>
    </xf>
    <xf numFmtId="173" fontId="11" fillId="0" borderId="28" xfId="43" applyNumberFormat="1" applyFont="1" applyBorder="1" applyAlignment="1" applyProtection="1">
      <alignment horizontal="right" vertical="center"/>
      <protection locked="0"/>
    </xf>
    <xf numFmtId="173" fontId="11" fillId="0" borderId="63" xfId="43" applyNumberFormat="1" applyFont="1" applyBorder="1" applyAlignment="1" applyProtection="1">
      <alignment horizontal="center" vertical="center"/>
      <protection locked="0"/>
    </xf>
    <xf numFmtId="173" fontId="11" fillId="0" borderId="63" xfId="43" applyNumberFormat="1" applyFont="1" applyBorder="1" applyAlignment="1" applyProtection="1">
      <alignment horizontal="left" vertical="center"/>
      <protection locked="0"/>
    </xf>
    <xf numFmtId="173" fontId="11" fillId="0" borderId="47" xfId="43" applyNumberFormat="1" applyFont="1" applyBorder="1" applyAlignment="1" applyProtection="1">
      <alignment horizontal="center" vertical="center"/>
      <protection locked="0"/>
    </xf>
    <xf numFmtId="0" fontId="11" fillId="0" borderId="110" xfId="0" applyFont="1" applyBorder="1" applyAlignment="1" applyProtection="1">
      <alignment horizontal="left" vertical="center"/>
      <protection locked="0"/>
    </xf>
    <xf numFmtId="173" fontId="11" fillId="0" borderId="111" xfId="43" applyNumberFormat="1" applyFont="1" applyBorder="1" applyAlignment="1" applyProtection="1">
      <alignment horizontal="center" vertical="center"/>
      <protection locked="0"/>
    </xf>
    <xf numFmtId="173" fontId="11" fillId="0" borderId="110" xfId="43" applyNumberFormat="1" applyFont="1" applyBorder="1" applyAlignment="1" applyProtection="1">
      <alignment horizontal="center" vertical="center"/>
      <protection locked="0"/>
    </xf>
    <xf numFmtId="173" fontId="11" fillId="0" borderId="110" xfId="43" applyNumberFormat="1" applyFont="1" applyBorder="1" applyAlignment="1" applyProtection="1">
      <alignment horizontal="right" vertical="center"/>
      <protection locked="0"/>
    </xf>
    <xf numFmtId="173" fontId="11" fillId="0" borderId="112" xfId="43" applyNumberFormat="1" applyFont="1" applyBorder="1" applyAlignment="1" applyProtection="1">
      <alignment horizontal="center" vertical="center"/>
      <protection locked="0"/>
    </xf>
    <xf numFmtId="173" fontId="11" fillId="0" borderId="112" xfId="43" applyNumberFormat="1" applyFont="1" applyBorder="1" applyAlignment="1" applyProtection="1">
      <alignment horizontal="left" vertical="center"/>
      <protection locked="0"/>
    </xf>
    <xf numFmtId="0" fontId="11" fillId="0" borderId="80" xfId="0" applyFont="1" applyBorder="1" applyAlignment="1" applyProtection="1">
      <alignment horizontal="left" vertical="center"/>
      <protection locked="0"/>
    </xf>
    <xf numFmtId="173" fontId="11" fillId="0" borderId="12" xfId="43" applyNumberFormat="1" applyFont="1" applyBorder="1" applyAlignment="1" applyProtection="1">
      <alignment horizontal="center" vertical="center"/>
      <protection locked="0"/>
    </xf>
    <xf numFmtId="173" fontId="11" fillId="0" borderId="32" xfId="43" applyNumberFormat="1" applyFont="1" applyBorder="1" applyAlignment="1" applyProtection="1">
      <alignment horizontal="center" vertical="center"/>
      <protection locked="0"/>
    </xf>
    <xf numFmtId="173" fontId="11" fillId="0" borderId="32" xfId="43" applyNumberFormat="1" applyFont="1" applyBorder="1" applyAlignment="1" applyProtection="1">
      <alignment horizontal="right" vertical="center"/>
      <protection locked="0"/>
    </xf>
    <xf numFmtId="173" fontId="11" fillId="0" borderId="35" xfId="43" applyNumberFormat="1" applyFont="1" applyBorder="1" applyAlignment="1" applyProtection="1">
      <alignment horizontal="center" vertical="center"/>
      <protection locked="0"/>
    </xf>
    <xf numFmtId="173" fontId="11" fillId="0" borderId="35" xfId="43" applyNumberFormat="1" applyFont="1" applyBorder="1" applyAlignment="1" applyProtection="1">
      <alignment horizontal="left" vertical="center"/>
      <protection locked="0"/>
    </xf>
    <xf numFmtId="173" fontId="11" fillId="0" borderId="50" xfId="43" applyNumberFormat="1" applyFont="1" applyBorder="1" applyAlignment="1" applyProtection="1">
      <alignment horizontal="center" vertical="center"/>
      <protection locked="0"/>
    </xf>
    <xf numFmtId="0" fontId="80" fillId="0" borderId="0" xfId="0" applyFont="1" applyBorder="1" applyAlignment="1" applyProtection="1">
      <alignment horizontal="left" vertical="center"/>
      <protection locked="0"/>
    </xf>
    <xf numFmtId="173" fontId="10" fillId="0" borderId="0" xfId="43" applyNumberFormat="1" applyFont="1" applyBorder="1" applyAlignment="1" applyProtection="1">
      <alignment vertical="center"/>
      <protection locked="0"/>
    </xf>
    <xf numFmtId="173" fontId="11" fillId="0" borderId="0" xfId="43" applyNumberFormat="1" applyFont="1" applyBorder="1" applyAlignment="1" applyProtection="1">
      <alignment horizontal="right" vertical="center"/>
      <protection locked="0"/>
    </xf>
    <xf numFmtId="0" fontId="71" fillId="0" borderId="0" xfId="42" applyFont="1" applyBorder="1" applyAlignment="1" applyProtection="1">
      <alignment vertical="center"/>
      <protection locked="0"/>
    </xf>
    <xf numFmtId="0" fontId="71" fillId="0" borderId="0" xfId="0" applyNumberFormat="1" applyFont="1" applyBorder="1" applyAlignment="1" applyProtection="1">
      <alignment vertical="center"/>
      <protection locked="0"/>
    </xf>
    <xf numFmtId="173" fontId="71" fillId="0" borderId="0" xfId="0" applyNumberFormat="1" applyFont="1" applyBorder="1" applyAlignment="1" applyProtection="1">
      <alignment horizontal="center" vertical="center"/>
      <protection locked="0"/>
    </xf>
    <xf numFmtId="1" fontId="71" fillId="0" borderId="0" xfId="0" applyNumberFormat="1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 vertical="center"/>
      <protection locked="0"/>
    </xf>
    <xf numFmtId="173" fontId="71" fillId="0" borderId="0" xfId="0" applyNumberFormat="1" applyFont="1" applyBorder="1" applyAlignment="1" applyProtection="1">
      <alignment horizontal="left" vertical="center"/>
      <protection locked="0"/>
    </xf>
    <xf numFmtId="0" fontId="71" fillId="0" borderId="64" xfId="0" applyFont="1" applyBorder="1" applyAlignment="1" applyProtection="1">
      <alignment vertical="center"/>
      <protection locked="0"/>
    </xf>
    <xf numFmtId="0" fontId="71" fillId="0" borderId="64" xfId="0" applyNumberFormat="1" applyFont="1" applyBorder="1" applyAlignment="1" applyProtection="1">
      <alignment vertical="center"/>
      <protection locked="0"/>
    </xf>
    <xf numFmtId="0" fontId="54" fillId="0" borderId="64" xfId="0" applyFont="1" applyBorder="1" applyAlignment="1" applyProtection="1">
      <alignment vertical="center"/>
      <protection locked="0"/>
    </xf>
    <xf numFmtId="173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73" fontId="14" fillId="0" borderId="0" xfId="0" applyNumberFormat="1" applyFont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73" fontId="9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left" vertical="center"/>
      <protection locked="0"/>
    </xf>
    <xf numFmtId="164" fontId="1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2" fontId="1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left" vertical="center"/>
      <protection locked="0"/>
    </xf>
    <xf numFmtId="164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173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left" vertical="center"/>
      <protection locked="0"/>
    </xf>
    <xf numFmtId="164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2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left" vertical="center"/>
      <protection locked="0"/>
    </xf>
    <xf numFmtId="164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173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173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center" vertical="center"/>
    </xf>
    <xf numFmtId="2" fontId="14" fillId="0" borderId="45" xfId="0" applyNumberFormat="1" applyFont="1" applyBorder="1" applyAlignment="1" applyProtection="1">
      <alignment horizontal="center" vertical="center"/>
      <protection locked="0"/>
    </xf>
    <xf numFmtId="173" fontId="14" fillId="0" borderId="37" xfId="0" applyNumberFormat="1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173" fontId="14" fillId="0" borderId="50" xfId="0" applyNumberFormat="1" applyFont="1" applyBorder="1" applyAlignment="1" applyProtection="1">
      <alignment horizontal="center" vertical="center"/>
      <protection locked="0"/>
    </xf>
    <xf numFmtId="2" fontId="14" fillId="0" borderId="51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 locked="0"/>
    </xf>
    <xf numFmtId="173" fontId="9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left" vertical="center" shrinkToFi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173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0" fontId="14" fillId="0" borderId="58" xfId="0" applyFont="1" applyFill="1" applyBorder="1" applyAlignment="1" applyProtection="1">
      <alignment horizontal="left" vertical="center"/>
      <protection locked="0"/>
    </xf>
    <xf numFmtId="0" fontId="14" fillId="0" borderId="61" xfId="0" applyFont="1" applyFill="1" applyBorder="1" applyAlignment="1" applyProtection="1">
      <alignment horizontal="left" vertical="center"/>
      <protection locked="0"/>
    </xf>
    <xf numFmtId="14" fontId="12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73" fontId="12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173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73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73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173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61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49" fontId="83" fillId="24" borderId="0" xfId="0" applyNumberFormat="1" applyFont="1" applyFill="1" applyBorder="1" applyAlignment="1" applyProtection="1">
      <alignment horizontal="center" vertical="center"/>
      <protection locked="0"/>
    </xf>
    <xf numFmtId="173" fontId="83" fillId="24" borderId="0" xfId="0" applyNumberFormat="1" applyFont="1" applyFill="1" applyBorder="1" applyAlignment="1" applyProtection="1">
      <alignment horizontal="center" vertical="center"/>
      <protection locked="0"/>
    </xf>
    <xf numFmtId="49" fontId="9" fillId="24" borderId="41" xfId="0" applyNumberFormat="1" applyFont="1" applyFill="1" applyBorder="1" applyAlignment="1" applyProtection="1">
      <alignment horizontal="center" vertical="center"/>
      <protection locked="0"/>
    </xf>
    <xf numFmtId="173" fontId="9" fillId="24" borderId="41" xfId="0" applyNumberFormat="1" applyFont="1" applyFill="1" applyBorder="1" applyAlignment="1" applyProtection="1">
      <alignment horizontal="center" vertical="center"/>
      <protection locked="0"/>
    </xf>
    <xf numFmtId="0" fontId="84" fillId="0" borderId="0" xfId="0" applyFont="1" applyBorder="1" applyAlignment="1" applyProtection="1">
      <alignment horizontal="center" vertical="center"/>
      <protection locked="0"/>
    </xf>
    <xf numFmtId="49" fontId="14" fillId="24" borderId="58" xfId="0" applyNumberFormat="1" applyFont="1" applyFill="1" applyBorder="1" applyAlignment="1" applyProtection="1">
      <alignment horizontal="left" vertical="center"/>
      <protection locked="0"/>
    </xf>
    <xf numFmtId="49" fontId="14" fillId="24" borderId="10" xfId="0" applyNumberFormat="1" applyFont="1" applyFill="1" applyBorder="1" applyAlignment="1" applyProtection="1">
      <alignment horizontal="center" vertical="center"/>
      <protection locked="0"/>
    </xf>
    <xf numFmtId="173" fontId="14" fillId="24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49" fontId="14" fillId="24" borderId="59" xfId="0" applyNumberFormat="1" applyFont="1" applyFill="1" applyBorder="1" applyAlignment="1" applyProtection="1">
      <alignment horizontal="left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173" fontId="14" fillId="24" borderId="22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Border="1" applyAlignment="1" applyProtection="1">
      <alignment horizontal="center" vertical="center"/>
      <protection locked="0"/>
    </xf>
    <xf numFmtId="49" fontId="14" fillId="24" borderId="61" xfId="0" applyNumberFormat="1" applyFont="1" applyFill="1" applyBorder="1" applyAlignment="1" applyProtection="1">
      <alignment horizontal="left" vertical="center"/>
      <protection locked="0"/>
    </xf>
    <xf numFmtId="49" fontId="14" fillId="24" borderId="12" xfId="0" applyNumberFormat="1" applyFont="1" applyFill="1" applyBorder="1" applyAlignment="1" applyProtection="1">
      <alignment horizontal="center" vertical="center"/>
      <protection locked="0"/>
    </xf>
    <xf numFmtId="173" fontId="14" fillId="24" borderId="27" xfId="0" applyNumberFormat="1" applyFont="1" applyFill="1" applyBorder="1" applyAlignment="1" applyProtection="1">
      <alignment horizontal="center" vertical="center"/>
      <protection locked="0"/>
    </xf>
    <xf numFmtId="49" fontId="9" fillId="24" borderId="17" xfId="0" applyNumberFormat="1" applyFont="1" applyFill="1" applyBorder="1" applyAlignment="1" applyProtection="1">
      <alignment horizontal="center" vertical="center"/>
      <protection locked="0"/>
    </xf>
    <xf numFmtId="49" fontId="9" fillId="24" borderId="60" xfId="0" applyNumberFormat="1" applyFont="1" applyFill="1" applyBorder="1" applyAlignment="1" applyProtection="1">
      <alignment horizontal="center" vertical="center"/>
      <protection locked="0"/>
    </xf>
    <xf numFmtId="49" fontId="9" fillId="24" borderId="14" xfId="0" applyNumberFormat="1" applyFont="1" applyFill="1" applyBorder="1" applyAlignment="1" applyProtection="1">
      <alignment horizontal="center" vertical="center"/>
      <protection locked="0"/>
    </xf>
    <xf numFmtId="49" fontId="9" fillId="24" borderId="91" xfId="0" applyNumberFormat="1" applyFont="1" applyFill="1" applyBorder="1" applyAlignment="1" applyProtection="1">
      <alignment horizontal="center" vertical="center"/>
      <protection locked="0"/>
    </xf>
    <xf numFmtId="173" fontId="9" fillId="24" borderId="13" xfId="0" applyNumberFormat="1" applyFont="1" applyFill="1" applyBorder="1" applyAlignment="1" applyProtection="1">
      <alignment horizontal="center" vertical="center"/>
      <protection locked="0"/>
    </xf>
    <xf numFmtId="49" fontId="9" fillId="24" borderId="0" xfId="0" applyNumberFormat="1" applyFont="1" applyFill="1" applyBorder="1" applyAlignment="1" applyProtection="1">
      <alignment horizontal="center" vertical="center"/>
      <protection locked="0"/>
    </xf>
    <xf numFmtId="49" fontId="9" fillId="24" borderId="38" xfId="0" applyNumberFormat="1" applyFont="1" applyFill="1" applyBorder="1" applyAlignment="1" applyProtection="1">
      <alignment horizontal="center" vertical="center"/>
      <protection locked="0"/>
    </xf>
    <xf numFmtId="173" fontId="9" fillId="24" borderId="72" xfId="0" applyNumberFormat="1" applyFont="1" applyFill="1" applyBorder="1" applyAlignment="1" applyProtection="1">
      <alignment horizontal="center" vertical="center"/>
      <protection locked="0"/>
    </xf>
    <xf numFmtId="1" fontId="14" fillId="0" borderId="40" xfId="0" applyNumberFormat="1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" fontId="14" fillId="0" borderId="15" xfId="0" applyNumberFormat="1" applyFont="1" applyBorder="1" applyAlignment="1" applyProtection="1">
      <alignment horizontal="center" vertical="center"/>
      <protection locked="0"/>
    </xf>
    <xf numFmtId="1" fontId="14" fillId="0" borderId="63" xfId="0" applyNumberFormat="1" applyFont="1" applyBorder="1" applyAlignment="1" applyProtection="1">
      <alignment horizontal="center" vertical="center"/>
      <protection locked="0"/>
    </xf>
    <xf numFmtId="1" fontId="14" fillId="0" borderId="46" xfId="0" applyNumberFormat="1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3" fontId="51" fillId="0" borderId="0" xfId="0" applyNumberFormat="1" applyFont="1" applyAlignment="1" applyProtection="1">
      <alignment horizontal="center" vertical="center"/>
      <protection locked="0"/>
    </xf>
    <xf numFmtId="173" fontId="51" fillId="0" borderId="0" xfId="0" applyNumberFormat="1" applyFont="1" applyAlignment="1" applyProtection="1">
      <alignment horizontal="left" vertical="center"/>
      <protection locked="0"/>
    </xf>
    <xf numFmtId="0" fontId="9" fillId="0" borderId="55" xfId="0" applyNumberFormat="1" applyFont="1" applyBorder="1" applyAlignment="1" applyProtection="1">
      <alignment horizontal="center" vertical="center"/>
      <protection locked="0"/>
    </xf>
    <xf numFmtId="0" fontId="9" fillId="0" borderId="38" xfId="0" applyNumberFormat="1" applyFont="1" applyBorder="1" applyAlignment="1" applyProtection="1">
      <alignment horizontal="center" vertical="center"/>
      <protection locked="0"/>
    </xf>
    <xf numFmtId="173" fontId="9" fillId="0" borderId="72" xfId="0" applyNumberFormat="1" applyFont="1" applyBorder="1" applyAlignment="1" applyProtection="1">
      <alignment horizontal="center" vertical="center"/>
      <protection locked="0"/>
    </xf>
    <xf numFmtId="173" fontId="84" fillId="0" borderId="0" xfId="0" applyNumberFormat="1" applyFont="1" applyAlignment="1" applyProtection="1">
      <alignment horizontal="center" vertical="center"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vertic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173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vertical="center"/>
      <protection locked="0"/>
    </xf>
    <xf numFmtId="0" fontId="14" fillId="0" borderId="12" xfId="0" applyNumberFormat="1" applyFont="1" applyBorder="1" applyAlignment="1" applyProtection="1">
      <alignment horizontal="center" vertical="center"/>
      <protection locked="0"/>
    </xf>
    <xf numFmtId="173" fontId="14" fillId="0" borderId="78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" fontId="11" fillId="0" borderId="30" xfId="0" applyNumberFormat="1" applyFont="1" applyBorder="1" applyAlignment="1" applyProtection="1">
      <alignment horizontal="center" vertical="center"/>
      <protection locked="0"/>
    </xf>
    <xf numFmtId="1" fontId="12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5" fillId="24" borderId="43" xfId="0" applyFont="1" applyFill="1" applyBorder="1" applyAlignment="1">
      <alignment horizontal="center" wrapText="1"/>
    </xf>
    <xf numFmtId="0" fontId="85" fillId="24" borderId="52" xfId="0" applyFont="1" applyFill="1" applyBorder="1" applyAlignment="1">
      <alignment horizontal="center" wrapText="1"/>
    </xf>
    <xf numFmtId="0" fontId="51" fillId="24" borderId="41" xfId="0" applyFont="1" applyFill="1" applyBorder="1" applyAlignment="1">
      <alignment horizontal="center" wrapText="1"/>
    </xf>
    <xf numFmtId="0" fontId="51" fillId="24" borderId="43" xfId="0" applyFont="1" applyFill="1" applyBorder="1" applyAlignment="1">
      <alignment horizontal="center" wrapText="1"/>
    </xf>
    <xf numFmtId="0" fontId="51" fillId="24" borderId="52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154" fillId="0" borderId="0" xfId="0" applyFont="1" applyBorder="1" applyAlignment="1">
      <alignment horizontal="center"/>
    </xf>
    <xf numFmtId="0" fontId="51" fillId="0" borderId="60" xfId="0" applyFont="1" applyBorder="1" applyAlignment="1">
      <alignment horizontal="left"/>
    </xf>
    <xf numFmtId="0" fontId="85" fillId="0" borderId="34" xfId="0" applyFont="1" applyBorder="1" applyAlignment="1">
      <alignment horizontal="left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24" borderId="41" xfId="0" applyFont="1" applyFill="1" applyBorder="1" applyAlignment="1">
      <alignment horizontal="left" wrapText="1" indent="1"/>
    </xf>
    <xf numFmtId="0" fontId="51" fillId="24" borderId="52" xfId="0" applyFont="1" applyFill="1" applyBorder="1" applyAlignment="1">
      <alignment horizontal="left" wrapText="1" indent="1"/>
    </xf>
    <xf numFmtId="0" fontId="85" fillId="24" borderId="41" xfId="0" applyFont="1" applyFill="1" applyBorder="1" applyAlignment="1">
      <alignment horizontal="center" wrapText="1"/>
    </xf>
    <xf numFmtId="0" fontId="74" fillId="0" borderId="0" xfId="0" applyFont="1" applyBorder="1" applyAlignment="1">
      <alignment horizontal="left" wrapText="1"/>
    </xf>
    <xf numFmtId="0" fontId="85" fillId="0" borderId="0" xfId="0" applyFont="1" applyAlignment="1">
      <alignment horizontal="center"/>
    </xf>
    <xf numFmtId="0" fontId="85" fillId="0" borderId="16" xfId="0" applyFont="1" applyBorder="1" applyAlignment="1">
      <alignment horizontal="center"/>
    </xf>
    <xf numFmtId="0" fontId="20" fillId="0" borderId="43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6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80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36" fillId="0" borderId="40" xfId="0" applyFont="1" applyBorder="1" applyAlignment="1">
      <alignment horizontal="left" wrapText="1"/>
    </xf>
    <xf numFmtId="0" fontId="154" fillId="0" borderId="34" xfId="0" applyFont="1" applyBorder="1" applyAlignment="1">
      <alignment horizontal="left" wrapText="1"/>
    </xf>
    <xf numFmtId="0" fontId="153" fillId="0" borderId="0" xfId="0" applyFont="1" applyAlignment="1">
      <alignment horizontal="left" wrapText="1"/>
    </xf>
    <xf numFmtId="0" fontId="36" fillId="0" borderId="43" xfId="0" applyFont="1" applyBorder="1" applyAlignment="1">
      <alignment horizontal="center" wrapText="1"/>
    </xf>
    <xf numFmtId="0" fontId="36" fillId="0" borderId="54" xfId="0" applyFont="1" applyBorder="1" applyAlignment="1">
      <alignment horizontal="center" wrapText="1"/>
    </xf>
    <xf numFmtId="0" fontId="36" fillId="0" borderId="56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  <xf numFmtId="0" fontId="36" fillId="0" borderId="62" xfId="0" applyFont="1" applyBorder="1" applyAlignment="1">
      <alignment horizontal="center" wrapText="1"/>
    </xf>
    <xf numFmtId="0" fontId="154" fillId="0" borderId="0" xfId="0" applyFont="1" applyAlignment="1">
      <alignment horizontal="left" wrapText="1"/>
    </xf>
    <xf numFmtId="0" fontId="20" fillId="0" borderId="41" xfId="0" applyFont="1" applyBorder="1" applyAlignment="1">
      <alignment horizontal="center" wrapText="1"/>
    </xf>
    <xf numFmtId="1" fontId="14" fillId="0" borderId="36" xfId="0" applyNumberFormat="1" applyFont="1" applyFill="1" applyBorder="1" applyAlignment="1" applyProtection="1">
      <alignment horizontal="center" vertical="center"/>
      <protection hidden="1" locked="0"/>
    </xf>
    <xf numFmtId="173" fontId="14" fillId="0" borderId="36" xfId="0" applyNumberFormat="1" applyFont="1" applyBorder="1" applyAlignment="1" applyProtection="1">
      <alignment horizontal="center" vertical="center"/>
      <protection hidden="1" locked="0"/>
    </xf>
    <xf numFmtId="1" fontId="14" fillId="0" borderId="37" xfId="0" applyNumberFormat="1" applyFont="1" applyBorder="1" applyAlignment="1" applyProtection="1">
      <alignment horizontal="center" vertical="center"/>
      <protection hidden="1" locked="0"/>
    </xf>
    <xf numFmtId="173" fontId="14" fillId="0" borderId="49" xfId="0" applyNumberFormat="1" applyFont="1" applyBorder="1" applyAlignment="1" applyProtection="1">
      <alignment horizontal="center" vertical="center"/>
      <protection hidden="1" locked="0"/>
    </xf>
    <xf numFmtId="0" fontId="14" fillId="0" borderId="14" xfId="43" applyNumberFormat="1" applyFont="1" applyFill="1" applyBorder="1" applyAlignment="1">
      <alignment horizontal="left" vertical="center" indent="2"/>
    </xf>
    <xf numFmtId="0" fontId="14" fillId="0" borderId="49" xfId="43" applyNumberFormat="1" applyFont="1" applyFill="1" applyBorder="1" applyAlignment="1">
      <alignment horizontal="left" vertical="center" indent="2"/>
    </xf>
    <xf numFmtId="1" fontId="14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0" applyFont="1" applyAlignment="1">
      <alignment horizontal="center"/>
    </xf>
    <xf numFmtId="0" fontId="36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157" fillId="0" borderId="17" xfId="0" applyFont="1" applyBorder="1" applyAlignment="1">
      <alignment horizontal="center" wrapText="1"/>
    </xf>
    <xf numFmtId="0" fontId="157" fillId="0" borderId="60" xfId="0" applyFont="1" applyBorder="1" applyAlignment="1">
      <alignment horizontal="center" wrapText="1"/>
    </xf>
    <xf numFmtId="0" fontId="157" fillId="0" borderId="18" xfId="0" applyFont="1" applyBorder="1" applyAlignment="1">
      <alignment horizontal="center" wrapText="1"/>
    </xf>
    <xf numFmtId="0" fontId="36" fillId="0" borderId="40" xfId="0" applyFont="1" applyBorder="1" applyAlignment="1">
      <alignment horizontal="center" wrapText="1"/>
    </xf>
    <xf numFmtId="0" fontId="153" fillId="0" borderId="0" xfId="0" applyFont="1" applyAlignment="1">
      <alignment horizontal="left" wrapText="1"/>
    </xf>
    <xf numFmtId="0" fontId="36" fillId="0" borderId="60" xfId="0" applyFont="1" applyBorder="1" applyAlignment="1">
      <alignment horizontal="center" wrapText="1"/>
    </xf>
    <xf numFmtId="0" fontId="14" fillId="0" borderId="37" xfId="43" applyNumberFormat="1" applyFont="1" applyFill="1" applyBorder="1" applyAlignment="1">
      <alignment horizontal="center" vertical="center"/>
    </xf>
    <xf numFmtId="173" fontId="14" fillId="0" borderId="37" xfId="0" applyNumberFormat="1" applyFont="1" applyBorder="1" applyAlignment="1" applyProtection="1">
      <alignment horizontal="center" vertical="center"/>
      <protection hidden="1" locked="0"/>
    </xf>
    <xf numFmtId="1" fontId="14" fillId="0" borderId="50" xfId="0" applyNumberFormat="1" applyFont="1" applyBorder="1" applyAlignment="1" applyProtection="1">
      <alignment horizontal="center" vertical="center"/>
      <protection hidden="1" locked="0"/>
    </xf>
    <xf numFmtId="173" fontId="14" fillId="0" borderId="50" xfId="0" applyNumberFormat="1" applyFont="1" applyBorder="1" applyAlignment="1" applyProtection="1">
      <alignment horizontal="center" vertical="center"/>
      <protection hidden="1" locked="0"/>
    </xf>
    <xf numFmtId="1" fontId="44" fillId="0" borderId="19" xfId="0" applyNumberFormat="1" applyFont="1" applyFill="1" applyBorder="1" applyAlignment="1" applyProtection="1">
      <alignment horizontal="center" vertical="center"/>
      <protection hidden="1" locked="0"/>
    </xf>
    <xf numFmtId="173" fontId="44" fillId="0" borderId="36" xfId="0" applyNumberFormat="1" applyFont="1" applyBorder="1" applyAlignment="1" applyProtection="1">
      <alignment horizontal="center" vertical="center"/>
      <protection hidden="1" locked="0"/>
    </xf>
    <xf numFmtId="1" fontId="44" fillId="0" borderId="21" xfId="0" applyNumberFormat="1" applyFont="1" applyFill="1" applyBorder="1" applyAlignment="1" applyProtection="1">
      <alignment horizontal="center" vertical="center"/>
      <protection hidden="1" locked="0"/>
    </xf>
    <xf numFmtId="173" fontId="44" fillId="0" borderId="37" xfId="0" applyNumberFormat="1" applyFont="1" applyBorder="1" applyAlignment="1" applyProtection="1">
      <alignment horizontal="center" vertical="center"/>
      <protection hidden="1" locked="0"/>
    </xf>
    <xf numFmtId="1" fontId="44" fillId="0" borderId="32" xfId="0" applyNumberFormat="1" applyFont="1" applyFill="1" applyBorder="1" applyAlignment="1" applyProtection="1">
      <alignment horizontal="center" vertical="center"/>
      <protection hidden="1" locked="0"/>
    </xf>
    <xf numFmtId="173" fontId="44" fillId="0" borderId="50" xfId="0" applyNumberFormat="1" applyFont="1" applyBorder="1" applyAlignment="1" applyProtection="1">
      <alignment horizontal="center" vertical="center"/>
      <protection hidden="1" locked="0"/>
    </xf>
    <xf numFmtId="173" fontId="60" fillId="0" borderId="36" xfId="0" applyNumberFormat="1" applyFont="1" applyBorder="1" applyAlignment="1" applyProtection="1">
      <alignment horizontal="right" vertical="center"/>
      <protection hidden="1" locked="0"/>
    </xf>
    <xf numFmtId="173" fontId="60" fillId="0" borderId="36" xfId="0" applyNumberFormat="1" applyFont="1" applyBorder="1" applyAlignment="1" applyProtection="1">
      <alignment horizontal="center" vertical="center"/>
      <protection hidden="1" locked="0"/>
    </xf>
    <xf numFmtId="173" fontId="60" fillId="0" borderId="37" xfId="0" applyNumberFormat="1" applyFont="1" applyBorder="1" applyAlignment="1" applyProtection="1">
      <alignment horizontal="right" vertical="center"/>
      <protection hidden="1" locked="0"/>
    </xf>
    <xf numFmtId="173" fontId="60" fillId="0" borderId="37" xfId="0" applyNumberFormat="1" applyFont="1" applyBorder="1" applyAlignment="1" applyProtection="1">
      <alignment horizontal="center" vertical="center"/>
      <protection hidden="1" locked="0"/>
    </xf>
    <xf numFmtId="173" fontId="60" fillId="0" borderId="31" xfId="0" applyNumberFormat="1" applyFont="1" applyBorder="1" applyAlignment="1" applyProtection="1">
      <alignment horizontal="center" vertical="center"/>
      <protection hidden="1" locked="0"/>
    </xf>
    <xf numFmtId="173" fontId="14" fillId="0" borderId="10" xfId="0" applyNumberFormat="1" applyFont="1" applyBorder="1" applyAlignment="1" applyProtection="1">
      <alignment horizontal="center" vertical="center"/>
      <protection hidden="1" locked="0"/>
    </xf>
    <xf numFmtId="173" fontId="14" fillId="0" borderId="20" xfId="0" applyNumberFormat="1" applyFont="1" applyFill="1" applyBorder="1" applyAlignment="1" applyProtection="1">
      <alignment horizontal="center" vertical="center"/>
      <protection hidden="1" locked="0"/>
    </xf>
    <xf numFmtId="173" fontId="60" fillId="0" borderId="33" xfId="0" applyNumberFormat="1" applyFont="1" applyBorder="1" applyAlignment="1" applyProtection="1">
      <alignment horizontal="center" vertical="center"/>
      <protection hidden="1" locked="0"/>
    </xf>
    <xf numFmtId="173" fontId="14" fillId="0" borderId="11" xfId="0" applyNumberFormat="1" applyFont="1" applyBorder="1" applyAlignment="1" applyProtection="1">
      <alignment horizontal="center" vertical="center"/>
      <protection hidden="1" locked="0"/>
    </xf>
    <xf numFmtId="173" fontId="14" fillId="0" borderId="22" xfId="0" applyNumberFormat="1" applyFont="1" applyFill="1" applyBorder="1" applyAlignment="1" applyProtection="1">
      <alignment horizontal="center" vertical="center"/>
      <protection hidden="1" locked="0"/>
    </xf>
    <xf numFmtId="173" fontId="60" fillId="0" borderId="113" xfId="0" applyNumberFormat="1" applyFont="1" applyFill="1" applyBorder="1" applyAlignment="1" applyProtection="1">
      <alignment horizontal="center" vertical="center"/>
      <protection hidden="1" locked="0"/>
    </xf>
    <xf numFmtId="173" fontId="14" fillId="0" borderId="11" xfId="0" applyNumberFormat="1" applyFont="1" applyFill="1" applyBorder="1" applyAlignment="1" applyProtection="1">
      <alignment horizontal="center" vertical="center"/>
      <protection hidden="1" locked="0"/>
    </xf>
    <xf numFmtId="173" fontId="60" fillId="0" borderId="114" xfId="0" applyNumberFormat="1" applyFont="1" applyFill="1" applyBorder="1" applyAlignment="1" applyProtection="1">
      <alignment horizontal="center" vertical="center"/>
      <protection hidden="1" locked="0"/>
    </xf>
    <xf numFmtId="173" fontId="60" fillId="0" borderId="115" xfId="0" applyNumberFormat="1" applyFont="1" applyFill="1" applyBorder="1" applyAlignment="1" applyProtection="1">
      <alignment horizontal="center" vertical="center"/>
      <protection hidden="1" locked="0"/>
    </xf>
    <xf numFmtId="173" fontId="60" fillId="0" borderId="20" xfId="0" applyNumberFormat="1" applyFont="1" applyBorder="1" applyAlignment="1" applyProtection="1">
      <alignment horizontal="center" vertical="center"/>
      <protection hidden="1" locked="0"/>
    </xf>
    <xf numFmtId="173" fontId="14" fillId="0" borderId="22" xfId="0" applyNumberFormat="1" applyFont="1" applyBorder="1" applyAlignment="1" applyProtection="1">
      <alignment horizontal="center" vertical="center"/>
      <protection hidden="1" locked="0"/>
    </xf>
    <xf numFmtId="173" fontId="60" fillId="0" borderId="22" xfId="0" applyNumberFormat="1" applyFont="1" applyBorder="1" applyAlignment="1" applyProtection="1">
      <alignment horizontal="center" vertical="center"/>
      <protection hidden="1" locked="0"/>
    </xf>
    <xf numFmtId="173" fontId="60" fillId="0" borderId="27" xfId="0" applyNumberFormat="1" applyFont="1" applyBorder="1" applyAlignment="1" applyProtection="1">
      <alignment horizontal="center" vertical="center"/>
      <protection hidden="1" locked="0"/>
    </xf>
    <xf numFmtId="1" fontId="45" fillId="0" borderId="18" xfId="0" applyNumberFormat="1" applyFont="1" applyBorder="1" applyAlignment="1">
      <alignment horizontal="center" vertical="center"/>
    </xf>
    <xf numFmtId="173" fontId="14" fillId="0" borderId="12" xfId="0" applyNumberFormat="1" applyFont="1" applyBorder="1" applyAlignment="1" applyProtection="1">
      <alignment horizontal="center" vertical="center"/>
      <protection hidden="1" locked="0"/>
    </xf>
    <xf numFmtId="173" fontId="14" fillId="0" borderId="27" xfId="0" applyNumberFormat="1" applyFont="1" applyBorder="1" applyAlignment="1" applyProtection="1">
      <alignment horizontal="center" vertical="center"/>
      <protection hidden="1" locked="0"/>
    </xf>
    <xf numFmtId="173" fontId="12" fillId="0" borderId="11" xfId="0" applyNumberFormat="1" applyFont="1" applyFill="1" applyBorder="1" applyAlignment="1" applyProtection="1">
      <alignment horizontal="right" vertical="center"/>
      <protection locked="0"/>
    </xf>
    <xf numFmtId="173" fontId="12" fillId="0" borderId="11" xfId="0" applyNumberFormat="1" applyFont="1" applyBorder="1" applyAlignment="1" applyProtection="1">
      <alignment horizontal="right" vertical="center"/>
      <protection locked="0"/>
    </xf>
    <xf numFmtId="173" fontId="12" fillId="0" borderId="12" xfId="0" applyNumberFormat="1" applyFont="1" applyBorder="1" applyAlignment="1" applyProtection="1">
      <alignment horizontal="right" vertical="center"/>
      <protection locked="0"/>
    </xf>
    <xf numFmtId="173" fontId="105" fillId="0" borderId="0" xfId="0" applyNumberFormat="1" applyFont="1" applyAlignment="1">
      <alignment horizontal="center" vertical="center"/>
    </xf>
    <xf numFmtId="0" fontId="106" fillId="0" borderId="0" xfId="0" applyNumberFormat="1" applyFont="1" applyAlignment="1">
      <alignment horizontal="center" vertical="center"/>
    </xf>
    <xf numFmtId="173" fontId="105" fillId="0" borderId="0" xfId="0" applyNumberFormat="1" applyFont="1" applyBorder="1" applyAlignment="1">
      <alignment horizontal="center" vertical="center"/>
    </xf>
    <xf numFmtId="0" fontId="107" fillId="0" borderId="0" xfId="0" applyFont="1" applyAlignment="1">
      <alignment vertical="center"/>
    </xf>
    <xf numFmtId="173" fontId="105" fillId="0" borderId="0" xfId="0" applyNumberFormat="1" applyFont="1" applyBorder="1" applyAlignment="1">
      <alignment horizontal="left" vertical="center"/>
    </xf>
    <xf numFmtId="173" fontId="108" fillId="0" borderId="0" xfId="0" applyNumberFormat="1" applyFont="1" applyBorder="1" applyAlignment="1">
      <alignment horizontal="left" vertical="center"/>
    </xf>
    <xf numFmtId="173" fontId="106" fillId="0" borderId="0" xfId="0" applyNumberFormat="1" applyFont="1" applyBorder="1" applyAlignment="1">
      <alignment horizontal="left" vertical="center"/>
    </xf>
    <xf numFmtId="173" fontId="109" fillId="0" borderId="0" xfId="0" applyNumberFormat="1" applyFont="1" applyBorder="1" applyAlignment="1">
      <alignment horizontal="center" vertical="center"/>
    </xf>
    <xf numFmtId="173" fontId="106" fillId="0" borderId="0" xfId="0" applyNumberFormat="1" applyFont="1" applyBorder="1" applyAlignment="1">
      <alignment horizontal="left" vertical="center" indent="2"/>
    </xf>
    <xf numFmtId="173" fontId="108" fillId="0" borderId="0" xfId="0" applyNumberFormat="1" applyFont="1" applyBorder="1" applyAlignment="1">
      <alignment horizontal="left" vertical="center" wrapText="1"/>
    </xf>
    <xf numFmtId="173" fontId="112" fillId="0" borderId="0" xfId="42" applyNumberFormat="1" applyFont="1" applyBorder="1" applyAlignment="1" applyProtection="1">
      <alignment horizontal="left" vertical="center"/>
      <protection/>
    </xf>
    <xf numFmtId="173" fontId="105" fillId="0" borderId="64" xfId="0" applyNumberFormat="1" applyFont="1" applyBorder="1" applyAlignment="1">
      <alignment horizontal="left" vertical="center"/>
    </xf>
    <xf numFmtId="173" fontId="113" fillId="0" borderId="64" xfId="0" applyNumberFormat="1" applyFont="1" applyBorder="1" applyAlignment="1">
      <alignment horizontal="center" vertical="center"/>
    </xf>
    <xf numFmtId="173" fontId="106" fillId="0" borderId="64" xfId="0" applyNumberFormat="1" applyFont="1" applyBorder="1" applyAlignment="1">
      <alignment horizontal="left" vertical="center" indent="2"/>
    </xf>
    <xf numFmtId="173" fontId="106" fillId="0" borderId="64" xfId="0" applyNumberFormat="1" applyFont="1" applyBorder="1" applyAlignment="1">
      <alignment horizontal="left" vertical="center" wrapText="1" indent="2"/>
    </xf>
    <xf numFmtId="173" fontId="106" fillId="0" borderId="0" xfId="0" applyNumberFormat="1" applyFont="1" applyBorder="1" applyAlignment="1">
      <alignment horizontal="left" vertical="center" wrapText="1" indent="2"/>
    </xf>
    <xf numFmtId="173" fontId="107" fillId="0" borderId="0" xfId="0" applyNumberFormat="1" applyFont="1" applyAlignment="1">
      <alignment horizontal="center" vertical="center"/>
    </xf>
    <xf numFmtId="173" fontId="114" fillId="0" borderId="0" xfId="0" applyNumberFormat="1" applyFont="1" applyFill="1" applyAlignment="1">
      <alignment vertical="center"/>
    </xf>
    <xf numFmtId="173" fontId="115" fillId="0" borderId="0" xfId="0" applyNumberFormat="1" applyFont="1" applyFill="1" applyAlignment="1">
      <alignment horizontal="right" vertical="center"/>
    </xf>
    <xf numFmtId="173" fontId="107" fillId="0" borderId="0" xfId="0" applyNumberFormat="1" applyFont="1" applyAlignment="1">
      <alignment horizontal="left" vertical="center" indent="2"/>
    </xf>
    <xf numFmtId="173" fontId="86" fillId="0" borderId="54" xfId="0" applyNumberFormat="1" applyFont="1" applyFill="1" applyBorder="1" applyAlignment="1">
      <alignment horizontal="center" vertical="center" shrinkToFit="1"/>
    </xf>
    <xf numFmtId="173" fontId="86" fillId="0" borderId="54" xfId="0" applyNumberFormat="1" applyFont="1" applyFill="1" applyBorder="1" applyAlignment="1">
      <alignment horizontal="center" vertical="center" wrapText="1" shrinkToFit="1"/>
    </xf>
    <xf numFmtId="173" fontId="86" fillId="0" borderId="14" xfId="43" applyNumberFormat="1" applyFont="1" applyFill="1" applyBorder="1" applyAlignment="1">
      <alignment horizontal="center" vertical="center" wrapText="1" shrinkToFit="1"/>
    </xf>
    <xf numFmtId="173" fontId="86" fillId="0" borderId="0" xfId="43" applyNumberFormat="1" applyFont="1" applyFill="1" applyBorder="1" applyAlignment="1">
      <alignment horizontal="center" vertical="center" wrapText="1" shrinkToFit="1"/>
    </xf>
    <xf numFmtId="173" fontId="86" fillId="0" borderId="41" xfId="0" applyNumberFormat="1" applyFont="1" applyFill="1" applyBorder="1" applyAlignment="1">
      <alignment horizontal="center" vertical="center" shrinkToFit="1"/>
    </xf>
    <xf numFmtId="0" fontId="36" fillId="0" borderId="52" xfId="0" applyFont="1" applyBorder="1" applyAlignment="1">
      <alignment horizontal="right" wrapText="1"/>
    </xf>
    <xf numFmtId="0" fontId="36" fillId="0" borderId="41" xfId="0" applyFont="1" applyBorder="1" applyAlignment="1">
      <alignment horizontal="center" wrapText="1"/>
    </xf>
    <xf numFmtId="0" fontId="36" fillId="0" borderId="52" xfId="0" applyFont="1" applyBorder="1" applyAlignment="1">
      <alignment horizontal="center" wrapText="1"/>
    </xf>
    <xf numFmtId="173" fontId="116" fillId="0" borderId="54" xfId="0" applyNumberFormat="1" applyFont="1" applyFill="1" applyBorder="1" applyAlignment="1">
      <alignment horizontal="center" vertical="center" shrinkToFit="1"/>
    </xf>
    <xf numFmtId="173" fontId="86" fillId="0" borderId="41" xfId="43" applyNumberFormat="1" applyFont="1" applyFill="1" applyBorder="1" applyAlignment="1">
      <alignment horizontal="left" vertical="center" wrapText="1" indent="2" shrinkToFit="1"/>
    </xf>
    <xf numFmtId="173" fontId="106" fillId="0" borderId="0" xfId="43" applyNumberFormat="1" applyFont="1" applyBorder="1" applyAlignment="1">
      <alignment horizontal="left" vertical="center" wrapText="1" indent="2" shrinkToFit="1"/>
    </xf>
    <xf numFmtId="0" fontId="107" fillId="0" borderId="0" xfId="0" applyFont="1" applyAlignment="1">
      <alignment horizontal="center" vertical="center" shrinkToFit="1"/>
    </xf>
    <xf numFmtId="173" fontId="74" fillId="0" borderId="19" xfId="0" applyNumberFormat="1" applyFont="1" applyFill="1" applyBorder="1" applyAlignment="1">
      <alignment horizontal="left" vertical="center" shrinkToFit="1"/>
    </xf>
    <xf numFmtId="173" fontId="117" fillId="0" borderId="19" xfId="0" applyNumberFormat="1" applyFont="1" applyFill="1" applyBorder="1" applyAlignment="1">
      <alignment horizontal="center" vertical="center" shrinkToFit="1"/>
    </xf>
    <xf numFmtId="173" fontId="117" fillId="0" borderId="36" xfId="43" applyNumberFormat="1" applyFont="1" applyFill="1" applyBorder="1" applyAlignment="1">
      <alignment horizontal="left" vertical="center" indent="2"/>
    </xf>
    <xf numFmtId="173" fontId="74" fillId="0" borderId="36" xfId="43" applyNumberFormat="1" applyFont="1" applyFill="1" applyBorder="1" applyAlignment="1">
      <alignment horizontal="center" vertical="center" wrapText="1" shrinkToFit="1"/>
    </xf>
    <xf numFmtId="173" fontId="74" fillId="0" borderId="0" xfId="43" applyNumberFormat="1" applyFont="1" applyFill="1" applyBorder="1" applyAlignment="1">
      <alignment horizontal="center" vertical="center" wrapText="1" shrinkToFit="1"/>
    </xf>
    <xf numFmtId="173" fontId="74" fillId="0" borderId="19" xfId="43" applyNumberFormat="1" applyFont="1" applyFill="1" applyBorder="1" applyAlignment="1">
      <alignment horizontal="left" vertical="center" indent="1"/>
    </xf>
    <xf numFmtId="173" fontId="118" fillId="0" borderId="36" xfId="43" applyNumberFormat="1" applyFont="1" applyFill="1" applyBorder="1" applyAlignment="1">
      <alignment horizontal="center" vertical="center"/>
    </xf>
    <xf numFmtId="173" fontId="119" fillId="0" borderId="36" xfId="43" applyNumberFormat="1" applyFont="1" applyFill="1" applyBorder="1" applyAlignment="1">
      <alignment horizontal="left" vertical="center" indent="2"/>
    </xf>
    <xf numFmtId="173" fontId="120" fillId="0" borderId="36" xfId="43" applyNumberFormat="1" applyFont="1" applyFill="1" applyBorder="1" applyAlignment="1">
      <alignment horizontal="left" vertical="center" indent="2"/>
    </xf>
    <xf numFmtId="173" fontId="121" fillId="0" borderId="42" xfId="43" applyNumberFormat="1" applyFont="1" applyBorder="1" applyAlignment="1">
      <alignment horizontal="left" vertical="center" indent="2"/>
    </xf>
    <xf numFmtId="0" fontId="121" fillId="0" borderId="0" xfId="0" applyFont="1" applyAlignment="1">
      <alignment horizontal="center" vertical="center" shrinkToFit="1"/>
    </xf>
    <xf numFmtId="173" fontId="74" fillId="0" borderId="21" xfId="0" applyNumberFormat="1" applyFont="1" applyFill="1" applyBorder="1" applyAlignment="1">
      <alignment horizontal="left" vertical="center" shrinkToFit="1"/>
    </xf>
    <xf numFmtId="173" fontId="117" fillId="0" borderId="21" xfId="0" applyNumberFormat="1" applyFont="1" applyFill="1" applyBorder="1" applyAlignment="1">
      <alignment horizontal="center" vertical="center" shrinkToFit="1"/>
    </xf>
    <xf numFmtId="173" fontId="117" fillId="0" borderId="37" xfId="43" applyNumberFormat="1" applyFont="1" applyFill="1" applyBorder="1" applyAlignment="1">
      <alignment horizontal="left" vertical="center" indent="2"/>
    </xf>
    <xf numFmtId="173" fontId="74" fillId="0" borderId="37" xfId="43" applyNumberFormat="1" applyFont="1" applyFill="1" applyBorder="1" applyAlignment="1">
      <alignment horizontal="center" vertical="center" wrapText="1" shrinkToFit="1"/>
    </xf>
    <xf numFmtId="173" fontId="74" fillId="0" borderId="21" xfId="43" applyNumberFormat="1" applyFont="1" applyFill="1" applyBorder="1" applyAlignment="1">
      <alignment horizontal="left" vertical="center" indent="1"/>
    </xf>
    <xf numFmtId="173" fontId="118" fillId="0" borderId="21" xfId="43" applyNumberFormat="1" applyFont="1" applyFill="1" applyBorder="1" applyAlignment="1">
      <alignment horizontal="center" vertical="center"/>
    </xf>
    <xf numFmtId="173" fontId="74" fillId="0" borderId="37" xfId="43" applyNumberFormat="1" applyFont="1" applyFill="1" applyBorder="1" applyAlignment="1">
      <alignment horizontal="left" vertical="center" indent="2"/>
    </xf>
    <xf numFmtId="173" fontId="118" fillId="0" borderId="37" xfId="43" applyNumberFormat="1" applyFont="1" applyFill="1" applyBorder="1" applyAlignment="1">
      <alignment horizontal="center" vertical="center"/>
    </xf>
    <xf numFmtId="173" fontId="119" fillId="0" borderId="37" xfId="43" applyNumberFormat="1" applyFont="1" applyFill="1" applyBorder="1" applyAlignment="1">
      <alignment horizontal="left" vertical="center" indent="2"/>
    </xf>
    <xf numFmtId="173" fontId="120" fillId="0" borderId="37" xfId="43" applyNumberFormat="1" applyFont="1" applyFill="1" applyBorder="1" applyAlignment="1">
      <alignment horizontal="left" vertical="center" indent="2"/>
    </xf>
    <xf numFmtId="173" fontId="121" fillId="0" borderId="0" xfId="43" applyNumberFormat="1" applyFont="1" applyBorder="1" applyAlignment="1">
      <alignment horizontal="left" vertical="center" indent="2"/>
    </xf>
    <xf numFmtId="0" fontId="121" fillId="0" borderId="0" xfId="0" applyFont="1" applyAlignment="1">
      <alignment vertical="center" wrapText="1"/>
    </xf>
    <xf numFmtId="0" fontId="121" fillId="0" borderId="0" xfId="0" applyFont="1" applyAlignment="1">
      <alignment vertical="center"/>
    </xf>
    <xf numFmtId="173" fontId="74" fillId="0" borderId="21" xfId="0" applyNumberFormat="1" applyFont="1" applyFill="1" applyBorder="1" applyAlignment="1">
      <alignment horizontal="left" vertical="center" indent="1"/>
    </xf>
    <xf numFmtId="173" fontId="118" fillId="0" borderId="21" xfId="0" applyNumberFormat="1" applyFont="1" applyFill="1" applyBorder="1" applyAlignment="1">
      <alignment horizontal="center" vertical="center" wrapText="1"/>
    </xf>
    <xf numFmtId="173" fontId="74" fillId="0" borderId="28" xfId="0" applyNumberFormat="1" applyFont="1" applyFill="1" applyBorder="1" applyAlignment="1">
      <alignment horizontal="left" vertical="center" shrinkToFit="1"/>
    </xf>
    <xf numFmtId="173" fontId="117" fillId="0" borderId="28" xfId="0" applyNumberFormat="1" applyFont="1" applyFill="1" applyBorder="1" applyAlignment="1">
      <alignment horizontal="center" vertical="center" shrinkToFit="1"/>
    </xf>
    <xf numFmtId="173" fontId="117" fillId="0" borderId="47" xfId="43" applyNumberFormat="1" applyFont="1" applyFill="1" applyBorder="1" applyAlignment="1">
      <alignment horizontal="left" vertical="center" indent="2"/>
    </xf>
    <xf numFmtId="173" fontId="74" fillId="0" borderId="47" xfId="43" applyNumberFormat="1" applyFont="1" applyFill="1" applyBorder="1" applyAlignment="1">
      <alignment horizontal="center" vertical="center" wrapText="1" shrinkToFit="1"/>
    </xf>
    <xf numFmtId="173" fontId="74" fillId="0" borderId="32" xfId="0" applyNumberFormat="1" applyFont="1" applyFill="1" applyBorder="1" applyAlignment="1">
      <alignment horizontal="left" vertical="center" indent="1"/>
    </xf>
    <xf numFmtId="173" fontId="118" fillId="0" borderId="32" xfId="0" applyNumberFormat="1" applyFont="1" applyFill="1" applyBorder="1" applyAlignment="1">
      <alignment horizontal="center" vertical="center" wrapText="1"/>
    </xf>
    <xf numFmtId="173" fontId="117" fillId="0" borderId="50" xfId="43" applyNumberFormat="1" applyFont="1" applyFill="1" applyBorder="1" applyAlignment="1">
      <alignment horizontal="left" vertical="center" indent="2"/>
    </xf>
    <xf numFmtId="173" fontId="74" fillId="0" borderId="50" xfId="43" applyNumberFormat="1" applyFont="1" applyFill="1" applyBorder="1" applyAlignment="1">
      <alignment horizontal="left" vertical="center" indent="2"/>
    </xf>
    <xf numFmtId="173" fontId="74" fillId="0" borderId="54" xfId="0" applyNumberFormat="1" applyFont="1" applyFill="1" applyBorder="1" applyAlignment="1">
      <alignment horizontal="left" vertical="center" wrapText="1"/>
    </xf>
    <xf numFmtId="173" fontId="117" fillId="0" borderId="54" xfId="0" applyNumberFormat="1" applyFont="1" applyFill="1" applyBorder="1" applyAlignment="1">
      <alignment horizontal="center" vertical="center" wrapText="1"/>
    </xf>
    <xf numFmtId="173" fontId="117" fillId="0" borderId="41" xfId="43" applyNumberFormat="1" applyFont="1" applyFill="1" applyBorder="1" applyAlignment="1">
      <alignment horizontal="left" vertical="center" indent="2"/>
    </xf>
    <xf numFmtId="173" fontId="74" fillId="0" borderId="41" xfId="43" applyNumberFormat="1" applyFont="1" applyFill="1" applyBorder="1" applyAlignment="1">
      <alignment horizontal="left" vertical="center" indent="2"/>
    </xf>
    <xf numFmtId="173" fontId="74" fillId="0" borderId="0" xfId="43" applyNumberFormat="1" applyFont="1" applyFill="1" applyBorder="1" applyAlignment="1">
      <alignment horizontal="left" vertical="center" indent="2"/>
    </xf>
    <xf numFmtId="173" fontId="74" fillId="0" borderId="19" xfId="0" applyNumberFormat="1" applyFont="1" applyFill="1" applyBorder="1" applyAlignment="1">
      <alignment horizontal="left" vertical="center" indent="1"/>
    </xf>
    <xf numFmtId="173" fontId="118" fillId="0" borderId="19" xfId="0" applyNumberFormat="1" applyFont="1" applyFill="1" applyBorder="1" applyAlignment="1">
      <alignment horizontal="center" vertical="center" wrapText="1"/>
    </xf>
    <xf numFmtId="173" fontId="74" fillId="0" borderId="36" xfId="43" applyNumberFormat="1" applyFont="1" applyFill="1" applyBorder="1" applyAlignment="1">
      <alignment horizontal="left" vertical="center" indent="2"/>
    </xf>
    <xf numFmtId="173" fontId="74" fillId="0" borderId="19" xfId="43" applyNumberFormat="1" applyFont="1" applyFill="1" applyBorder="1" applyAlignment="1">
      <alignment horizontal="left" vertical="center"/>
    </xf>
    <xf numFmtId="173" fontId="74" fillId="0" borderId="21" xfId="43" applyNumberFormat="1" applyFont="1" applyFill="1" applyBorder="1" applyAlignment="1">
      <alignment horizontal="left" vertical="center"/>
    </xf>
    <xf numFmtId="173" fontId="74" fillId="0" borderId="32" xfId="43" applyNumberFormat="1" applyFont="1" applyFill="1" applyBorder="1" applyAlignment="1">
      <alignment horizontal="left" vertical="center"/>
    </xf>
    <xf numFmtId="173" fontId="118" fillId="0" borderId="32" xfId="43" applyNumberFormat="1" applyFont="1" applyFill="1" applyBorder="1" applyAlignment="1">
      <alignment horizontal="center" vertical="center"/>
    </xf>
    <xf numFmtId="173" fontId="118" fillId="0" borderId="19" xfId="43" applyNumberFormat="1" applyFont="1" applyFill="1" applyBorder="1" applyAlignment="1">
      <alignment horizontal="center" vertical="center"/>
    </xf>
    <xf numFmtId="173" fontId="120" fillId="0" borderId="0" xfId="43" applyNumberFormat="1" applyFont="1" applyFill="1" applyBorder="1" applyAlignment="1">
      <alignment horizontal="left" vertical="center" indent="2"/>
    </xf>
    <xf numFmtId="173" fontId="122" fillId="0" borderId="21" xfId="0" applyNumberFormat="1" applyFont="1" applyFill="1" applyBorder="1" applyAlignment="1">
      <alignment horizontal="center" vertical="center" wrapText="1"/>
    </xf>
    <xf numFmtId="173" fontId="123" fillId="0" borderId="37" xfId="43" applyNumberFormat="1" applyFont="1" applyFill="1" applyBorder="1" applyAlignment="1">
      <alignment horizontal="left" vertical="center" indent="2"/>
    </xf>
    <xf numFmtId="173" fontId="86" fillId="0" borderId="37" xfId="43" applyNumberFormat="1" applyFont="1" applyFill="1" applyBorder="1" applyAlignment="1">
      <alignment horizontal="left" vertical="center" indent="2"/>
    </xf>
    <xf numFmtId="173" fontId="74" fillId="0" borderId="32" xfId="43" applyNumberFormat="1" applyFont="1" applyFill="1" applyBorder="1" applyAlignment="1">
      <alignment horizontal="left" vertical="center" indent="1"/>
    </xf>
    <xf numFmtId="173" fontId="122" fillId="0" borderId="32" xfId="43" applyNumberFormat="1" applyFont="1" applyFill="1" applyBorder="1" applyAlignment="1">
      <alignment horizontal="center" vertical="center"/>
    </xf>
    <xf numFmtId="173" fontId="123" fillId="0" borderId="32" xfId="43" applyNumberFormat="1" applyFont="1" applyFill="1" applyBorder="1" applyAlignment="1">
      <alignment horizontal="left" vertical="center" indent="2"/>
    </xf>
    <xf numFmtId="173" fontId="86" fillId="0" borderId="50" xfId="43" applyNumberFormat="1" applyFont="1" applyFill="1" applyBorder="1" applyAlignment="1">
      <alignment horizontal="left" vertical="center" indent="2"/>
    </xf>
    <xf numFmtId="173" fontId="119" fillId="0" borderId="19" xfId="43" applyNumberFormat="1" applyFont="1" applyFill="1" applyBorder="1" applyAlignment="1">
      <alignment horizontal="left" vertical="center" indent="2"/>
    </xf>
    <xf numFmtId="173" fontId="117" fillId="0" borderId="21" xfId="43" applyNumberFormat="1" applyFont="1" applyFill="1" applyBorder="1" applyAlignment="1">
      <alignment horizontal="left" vertical="center" indent="2"/>
    </xf>
    <xf numFmtId="173" fontId="122" fillId="0" borderId="21" xfId="43" applyNumberFormat="1" applyFont="1" applyFill="1" applyBorder="1" applyAlignment="1">
      <alignment horizontal="center" vertical="center"/>
    </xf>
    <xf numFmtId="173" fontId="123" fillId="0" borderId="21" xfId="43" applyNumberFormat="1" applyFont="1" applyFill="1" applyBorder="1" applyAlignment="1">
      <alignment horizontal="left" vertical="center" indent="2"/>
    </xf>
    <xf numFmtId="173" fontId="119" fillId="0" borderId="21" xfId="43" applyNumberFormat="1" applyFont="1" applyFill="1" applyBorder="1" applyAlignment="1">
      <alignment horizontal="left" vertical="center" indent="2"/>
    </xf>
    <xf numFmtId="173" fontId="74" fillId="0" borderId="0" xfId="43" applyNumberFormat="1" applyFont="1" applyFill="1" applyBorder="1" applyAlignment="1">
      <alignment horizontal="left" vertical="center" wrapText="1" indent="2"/>
    </xf>
    <xf numFmtId="173" fontId="117" fillId="0" borderId="32" xfId="43" applyNumberFormat="1" applyFont="1" applyFill="1" applyBorder="1" applyAlignment="1">
      <alignment horizontal="center" vertical="center"/>
    </xf>
    <xf numFmtId="173" fontId="74" fillId="0" borderId="0" xfId="43" applyNumberFormat="1" applyFont="1" applyFill="1" applyBorder="1" applyAlignment="1">
      <alignment horizontal="center" vertical="center"/>
    </xf>
    <xf numFmtId="173" fontId="119" fillId="0" borderId="32" xfId="43" applyNumberFormat="1" applyFont="1" applyFill="1" applyBorder="1" applyAlignment="1">
      <alignment horizontal="left" vertical="center" indent="2"/>
    </xf>
    <xf numFmtId="173" fontId="120" fillId="0" borderId="50" xfId="43" applyNumberFormat="1" applyFont="1" applyFill="1" applyBorder="1" applyAlignment="1">
      <alignment horizontal="left" vertical="center" indent="2"/>
    </xf>
    <xf numFmtId="173" fontId="107" fillId="0" borderId="0" xfId="0" applyNumberFormat="1" applyFont="1" applyBorder="1" applyAlignment="1">
      <alignment horizontal="left" vertical="center" indent="2"/>
    </xf>
    <xf numFmtId="173" fontId="125" fillId="0" borderId="0" xfId="0" applyNumberFormat="1" applyFont="1" applyFill="1" applyAlignment="1">
      <alignment vertical="center"/>
    </xf>
    <xf numFmtId="173" fontId="117" fillId="0" borderId="19" xfId="43" applyNumberFormat="1" applyFont="1" applyFill="1" applyBorder="1" applyAlignment="1">
      <alignment horizontal="left" vertical="center" indent="2"/>
    </xf>
    <xf numFmtId="173" fontId="74" fillId="0" borderId="0" xfId="43" applyNumberFormat="1" applyFont="1" applyBorder="1" applyAlignment="1">
      <alignment horizontal="center" vertical="center"/>
    </xf>
    <xf numFmtId="173" fontId="126" fillId="0" borderId="0" xfId="43" applyNumberFormat="1" applyFont="1" applyFill="1" applyBorder="1" applyAlignment="1">
      <alignment horizontal="center" vertical="center"/>
    </xf>
    <xf numFmtId="173" fontId="74" fillId="0" borderId="0" xfId="43" applyNumberFormat="1" applyFont="1" applyBorder="1" applyAlignment="1">
      <alignment horizontal="left" vertical="center" indent="2"/>
    </xf>
    <xf numFmtId="173" fontId="117" fillId="0" borderId="19" xfId="43" applyNumberFormat="1" applyFont="1" applyFill="1" applyBorder="1" applyAlignment="1">
      <alignment horizontal="center" vertical="center"/>
    </xf>
    <xf numFmtId="173" fontId="117" fillId="0" borderId="21" xfId="43" applyNumberFormat="1" applyFont="1" applyFill="1" applyBorder="1" applyAlignment="1">
      <alignment horizontal="center" vertical="center"/>
    </xf>
    <xf numFmtId="173" fontId="117" fillId="0" borderId="32" xfId="0" applyNumberFormat="1" applyFont="1" applyFill="1" applyBorder="1" applyAlignment="1">
      <alignment horizontal="center" vertical="center"/>
    </xf>
    <xf numFmtId="173" fontId="117" fillId="0" borderId="32" xfId="43" applyNumberFormat="1" applyFont="1" applyFill="1" applyBorder="1" applyAlignment="1">
      <alignment horizontal="left" vertical="center" indent="2"/>
    </xf>
    <xf numFmtId="173" fontId="74" fillId="0" borderId="21" xfId="0" applyNumberFormat="1" applyFont="1" applyFill="1" applyBorder="1" applyAlignment="1">
      <alignment horizontal="left" vertical="center"/>
    </xf>
    <xf numFmtId="173" fontId="118" fillId="0" borderId="21" xfId="0" applyNumberFormat="1" applyFont="1" applyFill="1" applyBorder="1" applyAlignment="1">
      <alignment horizontal="center" vertical="center"/>
    </xf>
    <xf numFmtId="173" fontId="74" fillId="0" borderId="75" xfId="0" applyNumberFormat="1" applyFont="1" applyFill="1" applyBorder="1" applyAlignment="1">
      <alignment horizontal="left" vertical="center" indent="1"/>
    </xf>
    <xf numFmtId="173" fontId="117" fillId="0" borderId="75" xfId="0" applyNumberFormat="1" applyFont="1" applyFill="1" applyBorder="1" applyAlignment="1">
      <alignment horizontal="center" vertical="center"/>
    </xf>
    <xf numFmtId="173" fontId="117" fillId="0" borderId="75" xfId="43" applyNumberFormat="1" applyFont="1" applyFill="1" applyBorder="1" applyAlignment="1">
      <alignment horizontal="left" vertical="center" indent="2"/>
    </xf>
    <xf numFmtId="173" fontId="74" fillId="0" borderId="49" xfId="43" applyNumberFormat="1" applyFont="1" applyFill="1" applyBorder="1" applyAlignment="1">
      <alignment horizontal="left" vertical="center" indent="2"/>
    </xf>
    <xf numFmtId="173" fontId="74" fillId="0" borderId="28" xfId="43" applyNumberFormat="1" applyFont="1" applyFill="1" applyBorder="1" applyAlignment="1">
      <alignment horizontal="left" vertical="center" indent="1"/>
    </xf>
    <xf numFmtId="173" fontId="117" fillId="0" borderId="28" xfId="43" applyNumberFormat="1" applyFont="1" applyFill="1" applyBorder="1" applyAlignment="1">
      <alignment horizontal="center" vertical="center"/>
    </xf>
    <xf numFmtId="173" fontId="117" fillId="0" borderId="28" xfId="43" applyNumberFormat="1" applyFont="1" applyFill="1" applyBorder="1" applyAlignment="1">
      <alignment horizontal="left" vertical="center" indent="2"/>
    </xf>
    <xf numFmtId="173" fontId="74" fillId="0" borderId="47" xfId="43" applyNumberFormat="1" applyFont="1" applyFill="1" applyBorder="1" applyAlignment="1">
      <alignment horizontal="left" vertical="center" indent="2"/>
    </xf>
    <xf numFmtId="173" fontId="117" fillId="0" borderId="21" xfId="0" applyNumberFormat="1" applyFont="1" applyFill="1" applyBorder="1" applyAlignment="1">
      <alignment horizontal="center" vertical="center"/>
    </xf>
    <xf numFmtId="173" fontId="74" fillId="0" borderId="0" xfId="0" applyNumberFormat="1" applyFont="1" applyAlignment="1">
      <alignment horizontal="center" vertical="center" wrapText="1"/>
    </xf>
    <xf numFmtId="173" fontId="86" fillId="0" borderId="0" xfId="0" applyNumberFormat="1" applyFont="1" applyAlignment="1">
      <alignment horizontal="center" vertical="center" wrapText="1"/>
    </xf>
    <xf numFmtId="173" fontId="127" fillId="0" borderId="0" xfId="0" applyNumberFormat="1" applyFont="1" applyAlignment="1">
      <alignment horizontal="center" vertical="center" wrapText="1"/>
    </xf>
    <xf numFmtId="0" fontId="36" fillId="0" borderId="41" xfId="0" applyFont="1" applyBorder="1" applyAlignment="1">
      <alignment horizontal="right" wrapText="1"/>
    </xf>
    <xf numFmtId="173" fontId="124" fillId="0" borderId="0" xfId="0" applyNumberFormat="1" applyFont="1" applyFill="1" applyBorder="1" applyAlignment="1">
      <alignment horizontal="left" vertical="center"/>
    </xf>
    <xf numFmtId="173" fontId="127" fillId="0" borderId="0" xfId="0" applyNumberFormat="1" applyFont="1" applyFill="1" applyBorder="1" applyAlignment="1">
      <alignment horizontal="center" vertical="center"/>
    </xf>
    <xf numFmtId="173" fontId="74" fillId="0" borderId="0" xfId="0" applyNumberFormat="1" applyFont="1" applyFill="1" applyAlignment="1">
      <alignment horizontal="left" vertical="center" indent="2"/>
    </xf>
    <xf numFmtId="173" fontId="86" fillId="0" borderId="58" xfId="0" applyNumberFormat="1" applyFont="1" applyFill="1" applyBorder="1" applyAlignment="1">
      <alignment vertical="center"/>
    </xf>
    <xf numFmtId="173" fontId="86" fillId="0" borderId="10" xfId="0" applyNumberFormat="1" applyFont="1" applyFill="1" applyBorder="1" applyAlignment="1">
      <alignment vertical="center"/>
    </xf>
    <xf numFmtId="173" fontId="86" fillId="0" borderId="20" xfId="0" applyNumberFormat="1" applyFont="1" applyFill="1" applyBorder="1" applyAlignment="1">
      <alignment vertical="center"/>
    </xf>
    <xf numFmtId="173" fontId="86" fillId="0" borderId="36" xfId="0" applyNumberFormat="1" applyFont="1" applyFill="1" applyBorder="1" applyAlignment="1">
      <alignment horizontal="center" vertical="center"/>
    </xf>
    <xf numFmtId="173" fontId="86" fillId="0" borderId="59" xfId="0" applyNumberFormat="1" applyFont="1" applyFill="1" applyBorder="1" applyAlignment="1">
      <alignment horizontal="left" vertical="center"/>
    </xf>
    <xf numFmtId="173" fontId="86" fillId="0" borderId="11" xfId="0" applyNumberFormat="1" applyFont="1" applyFill="1" applyBorder="1" applyAlignment="1">
      <alignment horizontal="left" vertical="center"/>
    </xf>
    <xf numFmtId="173" fontId="86" fillId="0" borderId="22" xfId="0" applyNumberFormat="1" applyFont="1" applyFill="1" applyBorder="1" applyAlignment="1">
      <alignment horizontal="left" vertical="center"/>
    </xf>
    <xf numFmtId="173" fontId="86" fillId="0" borderId="37" xfId="0" applyNumberFormat="1" applyFont="1" applyFill="1" applyBorder="1" applyAlignment="1">
      <alignment horizontal="center" vertical="center"/>
    </xf>
    <xf numFmtId="0" fontId="74" fillId="0" borderId="116" xfId="54" applyFont="1" applyFill="1" applyBorder="1" applyAlignment="1">
      <alignment horizontal="left" vertical="center"/>
      <protection/>
    </xf>
    <xf numFmtId="0" fontId="74" fillId="0" borderId="117" xfId="54" applyFont="1" applyFill="1" applyBorder="1" applyAlignment="1">
      <alignment horizontal="center" vertical="center"/>
      <protection/>
    </xf>
    <xf numFmtId="173" fontId="74" fillId="0" borderId="118" xfId="0" applyNumberFormat="1" applyFont="1" applyFill="1" applyBorder="1" applyAlignment="1">
      <alignment horizontal="center" vertical="center"/>
    </xf>
    <xf numFmtId="173" fontId="74" fillId="0" borderId="119" xfId="43" applyNumberFormat="1" applyFont="1" applyFill="1" applyBorder="1" applyAlignment="1">
      <alignment horizontal="center" vertical="center"/>
    </xf>
    <xf numFmtId="0" fontId="74" fillId="0" borderId="120" xfId="54" applyFont="1" applyFill="1" applyBorder="1" applyAlignment="1">
      <alignment horizontal="left" vertical="center"/>
      <protection/>
    </xf>
    <xf numFmtId="0" fontId="74" fillId="0" borderId="121" xfId="54" applyFont="1" applyFill="1" applyBorder="1" applyAlignment="1">
      <alignment horizontal="center" vertical="center"/>
      <protection/>
    </xf>
    <xf numFmtId="173" fontId="74" fillId="0" borderId="122" xfId="0" applyNumberFormat="1" applyFont="1" applyFill="1" applyBorder="1" applyAlignment="1">
      <alignment horizontal="center" vertical="center"/>
    </xf>
    <xf numFmtId="173" fontId="74" fillId="0" borderId="123" xfId="43" applyNumberFormat="1" applyFont="1" applyFill="1" applyBorder="1" applyAlignment="1">
      <alignment horizontal="center" vertical="center"/>
    </xf>
    <xf numFmtId="173" fontId="74" fillId="0" borderId="122" xfId="43" applyNumberFormat="1" applyFont="1" applyFill="1" applyBorder="1" applyAlignment="1">
      <alignment horizontal="center" vertical="center"/>
    </xf>
    <xf numFmtId="0" fontId="158" fillId="0" borderId="18" xfId="0" applyFont="1" applyBorder="1" applyAlignment="1">
      <alignment horizontal="center" wrapText="1"/>
    </xf>
    <xf numFmtId="0" fontId="154" fillId="0" borderId="17" xfId="0" applyFont="1" applyBorder="1" applyAlignment="1">
      <alignment horizontal="center" wrapText="1"/>
    </xf>
    <xf numFmtId="0" fontId="154" fillId="0" borderId="18" xfId="0" applyFont="1" applyBorder="1" applyAlignment="1">
      <alignment horizontal="center" wrapText="1"/>
    </xf>
    <xf numFmtId="0" fontId="74" fillId="0" borderId="124" xfId="54" applyFont="1" applyFill="1" applyBorder="1" applyAlignment="1">
      <alignment horizontal="left" vertical="center"/>
      <protection/>
    </xf>
    <xf numFmtId="0" fontId="74" fillId="0" borderId="125" xfId="54" applyFont="1" applyFill="1" applyBorder="1" applyAlignment="1">
      <alignment horizontal="center" vertical="center"/>
      <protection/>
    </xf>
    <xf numFmtId="173" fontId="74" fillId="0" borderId="126" xfId="0" applyNumberFormat="1" applyFont="1" applyFill="1" applyBorder="1" applyAlignment="1">
      <alignment horizontal="center" vertical="center"/>
    </xf>
    <xf numFmtId="173" fontId="74" fillId="0" borderId="127" xfId="43" applyNumberFormat="1" applyFont="1" applyFill="1" applyBorder="1" applyAlignment="1">
      <alignment horizontal="center" vertical="center"/>
    </xf>
    <xf numFmtId="0" fontId="74" fillId="0" borderId="128" xfId="54" applyFont="1" applyFill="1" applyBorder="1" applyAlignment="1">
      <alignment horizontal="left" vertical="center"/>
      <protection/>
    </xf>
    <xf numFmtId="0" fontId="74" fillId="0" borderId="129" xfId="54" applyFont="1" applyFill="1" applyBorder="1" applyAlignment="1">
      <alignment horizontal="center" vertical="center"/>
      <protection/>
    </xf>
    <xf numFmtId="173" fontId="74" fillId="0" borderId="130" xfId="43" applyNumberFormat="1" applyFont="1" applyFill="1" applyBorder="1" applyAlignment="1">
      <alignment horizontal="left" vertical="center" indent="2"/>
    </xf>
    <xf numFmtId="173" fontId="74" fillId="0" borderId="131" xfId="43" applyNumberFormat="1" applyFont="1" applyFill="1" applyBorder="1" applyAlignment="1">
      <alignment horizontal="left" vertical="center" indent="2"/>
    </xf>
    <xf numFmtId="173" fontId="74" fillId="0" borderId="122" xfId="43" applyNumberFormat="1" applyFont="1" applyFill="1" applyBorder="1" applyAlignment="1">
      <alignment horizontal="left" vertical="center" indent="2"/>
    </xf>
    <xf numFmtId="173" fontId="74" fillId="0" borderId="123" xfId="43" applyNumberFormat="1" applyFont="1" applyFill="1" applyBorder="1" applyAlignment="1">
      <alignment horizontal="left" vertical="center" indent="2"/>
    </xf>
    <xf numFmtId="173" fontId="107" fillId="0" borderId="0" xfId="0" applyNumberFormat="1" applyFont="1" applyFill="1" applyAlignment="1">
      <alignment horizontal="center" vertical="center"/>
    </xf>
    <xf numFmtId="173" fontId="107" fillId="0" borderId="0" xfId="43" applyNumberFormat="1" applyFont="1" applyFill="1" applyAlignment="1">
      <alignment horizontal="center" vertical="center"/>
    </xf>
    <xf numFmtId="173" fontId="129" fillId="0" borderId="0" xfId="43" applyNumberFormat="1" applyFont="1" applyBorder="1" applyAlignment="1">
      <alignment horizontal="center" vertical="center"/>
    </xf>
    <xf numFmtId="0" fontId="107" fillId="0" borderId="0" xfId="0" applyFont="1" applyAlignment="1">
      <alignment horizontal="left" vertical="center"/>
    </xf>
    <xf numFmtId="0" fontId="130" fillId="0" borderId="0" xfId="0" applyFont="1" applyAlignment="1">
      <alignment horizontal="center" vertical="center"/>
    </xf>
    <xf numFmtId="173" fontId="107" fillId="0" borderId="0" xfId="0" applyNumberFormat="1" applyFont="1" applyFill="1" applyAlignment="1">
      <alignment horizontal="left" vertical="center" indent="2"/>
    </xf>
    <xf numFmtId="173" fontId="107" fillId="0" borderId="0" xfId="43" applyNumberFormat="1" applyFont="1" applyAlignment="1">
      <alignment horizontal="center" vertical="center"/>
    </xf>
    <xf numFmtId="173" fontId="130" fillId="0" borderId="0" xfId="0" applyNumberFormat="1" applyFont="1" applyAlignment="1">
      <alignment horizontal="center" vertical="center"/>
    </xf>
    <xf numFmtId="0" fontId="131" fillId="0" borderId="0" xfId="0" applyFont="1" applyAlignment="1">
      <alignment vertical="center"/>
    </xf>
    <xf numFmtId="173" fontId="107" fillId="0" borderId="0" xfId="43" applyNumberFormat="1" applyFont="1" applyAlignment="1">
      <alignment horizontal="right" vertical="center"/>
    </xf>
    <xf numFmtId="173" fontId="107" fillId="0" borderId="0" xfId="43" applyNumberFormat="1" applyFont="1" applyBorder="1" applyAlignment="1">
      <alignment horizontal="right" vertical="center"/>
    </xf>
    <xf numFmtId="0" fontId="133" fillId="0" borderId="0" xfId="0" applyNumberFormat="1" applyFont="1" applyAlignment="1">
      <alignment horizontal="center" vertical="center"/>
    </xf>
    <xf numFmtId="0" fontId="136" fillId="0" borderId="0" xfId="0" applyFont="1" applyAlignment="1">
      <alignment vertical="center"/>
    </xf>
    <xf numFmtId="173" fontId="133" fillId="0" borderId="0" xfId="43" applyNumberFormat="1" applyFont="1" applyBorder="1" applyAlignment="1">
      <alignment horizontal="right" vertical="center"/>
    </xf>
    <xf numFmtId="173" fontId="133" fillId="0" borderId="0" xfId="0" applyNumberFormat="1" applyFont="1" applyBorder="1" applyAlignment="1">
      <alignment horizontal="left" vertical="center"/>
    </xf>
    <xf numFmtId="173" fontId="133" fillId="0" borderId="0" xfId="0" applyNumberFormat="1" applyFont="1" applyBorder="1" applyAlignment="1">
      <alignment horizontal="center" vertical="center"/>
    </xf>
    <xf numFmtId="0" fontId="137" fillId="0" borderId="0" xfId="0" applyFont="1" applyAlignment="1">
      <alignment vertical="center"/>
    </xf>
    <xf numFmtId="173" fontId="133" fillId="0" borderId="0" xfId="0" applyNumberFormat="1" applyFont="1" applyBorder="1" applyAlignment="1">
      <alignment horizontal="center" vertical="center" wrapText="1"/>
    </xf>
    <xf numFmtId="173" fontId="133" fillId="0" borderId="0" xfId="43" applyNumberFormat="1" applyFont="1" applyBorder="1" applyAlignment="1">
      <alignment horizontal="right" vertical="center" wrapText="1"/>
    </xf>
    <xf numFmtId="173" fontId="133" fillId="0" borderId="64" xfId="0" applyNumberFormat="1" applyFont="1" applyBorder="1" applyAlignment="1">
      <alignment horizontal="left" vertical="center"/>
    </xf>
    <xf numFmtId="173" fontId="133" fillId="0" borderId="64" xfId="0" applyNumberFormat="1" applyFont="1" applyBorder="1" applyAlignment="1">
      <alignment horizontal="center" vertical="center"/>
    </xf>
    <xf numFmtId="173" fontId="133" fillId="0" borderId="64" xfId="0" applyNumberFormat="1" applyFont="1" applyBorder="1" applyAlignment="1">
      <alignment horizontal="center" vertical="center" wrapText="1"/>
    </xf>
    <xf numFmtId="173" fontId="139" fillId="0" borderId="0" xfId="0" applyNumberFormat="1" applyFont="1" applyFill="1" applyAlignment="1">
      <alignment vertical="center"/>
    </xf>
    <xf numFmtId="173" fontId="115" fillId="0" borderId="0" xfId="0" applyNumberFormat="1" applyFont="1" applyFill="1" applyAlignment="1">
      <alignment vertical="center"/>
    </xf>
    <xf numFmtId="173" fontId="142" fillId="0" borderId="0" xfId="43" applyNumberFormat="1" applyFont="1" applyFill="1" applyBorder="1" applyAlignment="1">
      <alignment horizontal="right" vertical="center"/>
    </xf>
    <xf numFmtId="173" fontId="143" fillId="0" borderId="41" xfId="0" applyNumberFormat="1" applyFont="1" applyFill="1" applyBorder="1" applyAlignment="1">
      <alignment horizontal="center" vertical="center" wrapText="1" shrinkToFit="1"/>
    </xf>
    <xf numFmtId="173" fontId="143" fillId="0" borderId="56" xfId="43" applyNumberFormat="1" applyFont="1" applyFill="1" applyBorder="1" applyAlignment="1">
      <alignment horizontal="center" vertical="center" wrapText="1" shrinkToFit="1"/>
    </xf>
    <xf numFmtId="173" fontId="141" fillId="0" borderId="0" xfId="43" applyNumberFormat="1" applyFont="1" applyFill="1" applyBorder="1" applyAlignment="1">
      <alignment horizontal="center" vertical="center" wrapText="1" shrinkToFit="1"/>
    </xf>
    <xf numFmtId="0" fontId="60" fillId="0" borderId="19" xfId="0" applyFont="1" applyBorder="1" applyAlignment="1">
      <alignment vertical="center"/>
    </xf>
    <xf numFmtId="0" fontId="158" fillId="0" borderId="17" xfId="0" applyFont="1" applyBorder="1" applyAlignment="1">
      <alignment horizontal="center" wrapText="1"/>
    </xf>
    <xf numFmtId="0" fontId="74" fillId="0" borderId="57" xfId="0" applyFont="1" applyFill="1" applyBorder="1" applyAlignment="1">
      <alignment vertical="center"/>
    </xf>
    <xf numFmtId="3" fontId="74" fillId="0" borderId="36" xfId="0" applyNumberFormat="1" applyFont="1" applyFill="1" applyBorder="1" applyAlignment="1">
      <alignment horizontal="center" vertical="center" wrapText="1"/>
    </xf>
    <xf numFmtId="173" fontId="74" fillId="0" borderId="36" xfId="55" applyNumberFormat="1" applyFont="1" applyFill="1" applyBorder="1" applyAlignment="1">
      <alignment horizontal="center" vertical="center"/>
      <protection/>
    </xf>
    <xf numFmtId="0" fontId="74" fillId="0" borderId="34" xfId="0" applyFont="1" applyFill="1" applyBorder="1" applyAlignment="1">
      <alignment horizontal="center" vertical="top"/>
    </xf>
    <xf numFmtId="0" fontId="74" fillId="0" borderId="58" xfId="0" applyFont="1" applyFill="1" applyBorder="1" applyAlignment="1">
      <alignment vertical="center" wrapText="1"/>
    </xf>
    <xf numFmtId="173" fontId="74" fillId="0" borderId="36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 wrapText="1"/>
    </xf>
    <xf numFmtId="0" fontId="60" fillId="0" borderId="21" xfId="0" applyFont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3" fontId="74" fillId="0" borderId="132" xfId="0" applyNumberFormat="1" applyFont="1" applyFill="1" applyBorder="1" applyAlignment="1">
      <alignment horizontal="center" vertical="center" wrapText="1"/>
    </xf>
    <xf numFmtId="173" fontId="74" fillId="0" borderId="37" xfId="55" applyNumberFormat="1" applyFont="1" applyFill="1" applyBorder="1" applyAlignment="1">
      <alignment horizontal="center" vertical="center"/>
      <protection/>
    </xf>
    <xf numFmtId="0" fontId="74" fillId="0" borderId="0" xfId="0" applyFont="1" applyFill="1" applyBorder="1" applyAlignment="1">
      <alignment horizontal="center" vertical="top"/>
    </xf>
    <xf numFmtId="0" fontId="74" fillId="0" borderId="59" xfId="0" applyFont="1" applyFill="1" applyBorder="1" applyAlignment="1">
      <alignment vertical="center" wrapText="1"/>
    </xf>
    <xf numFmtId="173" fontId="74" fillId="0" borderId="37" xfId="0" applyNumberFormat="1" applyFont="1" applyFill="1" applyBorder="1" applyAlignment="1">
      <alignment horizontal="center" vertical="center" shrinkToFit="1"/>
    </xf>
    <xf numFmtId="0" fontId="74" fillId="0" borderId="73" xfId="0" applyFont="1" applyFill="1" applyBorder="1" applyAlignment="1">
      <alignment vertical="center" wrapText="1"/>
    </xf>
    <xf numFmtId="3" fontId="74" fillId="0" borderId="133" xfId="0" applyNumberFormat="1" applyFont="1" applyFill="1" applyBorder="1" applyAlignment="1">
      <alignment horizontal="center" vertical="center" wrapText="1"/>
    </xf>
    <xf numFmtId="173" fontId="74" fillId="0" borderId="47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0" fillId="0" borderId="32" xfId="0" applyFont="1" applyBorder="1" applyAlignment="1">
      <alignment vertical="center"/>
    </xf>
    <xf numFmtId="0" fontId="74" fillId="0" borderId="35" xfId="0" applyFont="1" applyFill="1" applyBorder="1" applyAlignment="1">
      <alignment vertical="center"/>
    </xf>
    <xf numFmtId="3" fontId="74" fillId="0" borderId="134" xfId="0" applyNumberFormat="1" applyFont="1" applyFill="1" applyBorder="1" applyAlignment="1">
      <alignment horizontal="center" vertical="center" wrapText="1"/>
    </xf>
    <xf numFmtId="173" fontId="74" fillId="0" borderId="50" xfId="55" applyNumberFormat="1" applyFont="1" applyFill="1" applyBorder="1" applyAlignment="1">
      <alignment horizontal="center" vertical="center"/>
      <protection/>
    </xf>
    <xf numFmtId="0" fontId="74" fillId="0" borderId="61" xfId="0" applyFont="1" applyFill="1" applyBorder="1" applyAlignment="1">
      <alignment vertical="center" wrapText="1"/>
    </xf>
    <xf numFmtId="173" fontId="74" fillId="0" borderId="50" xfId="0" applyNumberFormat="1" applyFont="1" applyFill="1" applyBorder="1" applyAlignment="1">
      <alignment horizontal="center" vertical="center" shrinkToFit="1"/>
    </xf>
    <xf numFmtId="0" fontId="74" fillId="0" borderId="67" xfId="0" applyFont="1" applyFill="1" applyBorder="1" applyAlignment="1">
      <alignment vertical="center" wrapText="1"/>
    </xf>
    <xf numFmtId="3" fontId="74" fillId="0" borderId="49" xfId="0" applyNumberFormat="1" applyFont="1" applyFill="1" applyBorder="1" applyAlignment="1">
      <alignment horizontal="center" vertical="center" wrapText="1"/>
    </xf>
    <xf numFmtId="173" fontId="74" fillId="0" borderId="49" xfId="0" applyNumberFormat="1" applyFont="1" applyFill="1" applyBorder="1" applyAlignment="1">
      <alignment horizontal="center" vertical="center" shrinkToFit="1"/>
    </xf>
    <xf numFmtId="0" fontId="74" fillId="0" borderId="39" xfId="0" applyFont="1" applyFill="1" applyBorder="1" applyAlignment="1">
      <alignment vertical="center" wrapText="1"/>
    </xf>
    <xf numFmtId="3" fontId="74" fillId="0" borderId="14" xfId="0" applyNumberFormat="1" applyFont="1" applyFill="1" applyBorder="1" applyAlignment="1">
      <alignment horizontal="center" vertical="center" wrapText="1"/>
    </xf>
    <xf numFmtId="173" fontId="74" fillId="0" borderId="14" xfId="0" applyNumberFormat="1" applyFont="1" applyFill="1" applyBorder="1" applyAlignment="1">
      <alignment horizontal="center" vertical="center" shrinkToFit="1"/>
    </xf>
    <xf numFmtId="0" fontId="60" fillId="0" borderId="75" xfId="0" applyFont="1" applyBorder="1" applyAlignment="1">
      <alignment vertical="center"/>
    </xf>
    <xf numFmtId="0" fontId="74" fillId="0" borderId="82" xfId="0" applyFont="1" applyFill="1" applyBorder="1" applyAlignment="1">
      <alignment vertical="center"/>
    </xf>
    <xf numFmtId="173" fontId="74" fillId="0" borderId="49" xfId="55" applyNumberFormat="1" applyFont="1" applyFill="1" applyBorder="1" applyAlignment="1">
      <alignment horizontal="center" vertical="center"/>
      <protection/>
    </xf>
    <xf numFmtId="0" fontId="60" fillId="0" borderId="28" xfId="0" applyFont="1" applyBorder="1" applyAlignment="1">
      <alignment vertical="center"/>
    </xf>
    <xf numFmtId="0" fontId="74" fillId="0" borderId="63" xfId="0" applyFont="1" applyFill="1" applyBorder="1" applyAlignment="1">
      <alignment vertical="center"/>
    </xf>
    <xf numFmtId="173" fontId="74" fillId="0" borderId="47" xfId="55" applyNumberFormat="1" applyFont="1" applyFill="1" applyBorder="1" applyAlignment="1">
      <alignment horizontal="center" vertical="center"/>
      <protection/>
    </xf>
    <xf numFmtId="0" fontId="74" fillId="0" borderId="30" xfId="0" applyFont="1" applyFill="1" applyBorder="1" applyAlignment="1">
      <alignment vertical="center"/>
    </xf>
    <xf numFmtId="0" fontId="74" fillId="0" borderId="31" xfId="0" applyFont="1" applyFill="1" applyBorder="1" applyAlignment="1">
      <alignment vertical="center"/>
    </xf>
    <xf numFmtId="173" fontId="74" fillId="0" borderId="0" xfId="43" applyNumberFormat="1" applyFont="1" applyFill="1" applyBorder="1" applyAlignment="1">
      <alignment horizontal="right" vertical="center"/>
    </xf>
    <xf numFmtId="0" fontId="74" fillId="0" borderId="33" xfId="0" applyFont="1" applyFill="1" applyBorder="1" applyAlignment="1">
      <alignment vertical="center"/>
    </xf>
    <xf numFmtId="173" fontId="74" fillId="0" borderId="42" xfId="43" applyNumberFormat="1" applyFont="1" applyFill="1" applyBorder="1" applyAlignment="1">
      <alignment horizontal="right" vertical="center"/>
    </xf>
    <xf numFmtId="0" fontId="14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 wrapText="1" indent="1"/>
    </xf>
    <xf numFmtId="173" fontId="74" fillId="0" borderId="0" xfId="0" applyNumberFormat="1" applyFont="1" applyFill="1" applyBorder="1" applyAlignment="1">
      <alignment horizontal="center"/>
    </xf>
    <xf numFmtId="173" fontId="74" fillId="0" borderId="0" xfId="55" applyNumberFormat="1" applyFont="1" applyFill="1" applyBorder="1" applyAlignment="1">
      <alignment horizontal="right" vertical="center" indent="1"/>
      <protection/>
    </xf>
    <xf numFmtId="1" fontId="74" fillId="0" borderId="134" xfId="0" applyNumberFormat="1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vertical="center"/>
    </xf>
    <xf numFmtId="0" fontId="144" fillId="0" borderId="0" xfId="0" applyFont="1" applyBorder="1" applyAlignment="1">
      <alignment horizontal="left" vertical="center" wrapText="1" indent="1"/>
    </xf>
    <xf numFmtId="173" fontId="144" fillId="0" borderId="0" xfId="0" applyNumberFormat="1" applyFont="1" applyFill="1" applyBorder="1" applyAlignment="1">
      <alignment horizontal="right" vertical="center" indent="1"/>
    </xf>
    <xf numFmtId="173" fontId="144" fillId="0" borderId="0" xfId="55" applyNumberFormat="1" applyFont="1" applyFill="1" applyBorder="1" applyAlignment="1">
      <alignment horizontal="right" vertical="center" indent="1"/>
      <protection/>
    </xf>
    <xf numFmtId="173" fontId="107" fillId="0" borderId="0" xfId="43" applyNumberFormat="1" applyFont="1" applyFill="1" applyBorder="1" applyAlignment="1">
      <alignment horizontal="right" vertical="center"/>
    </xf>
    <xf numFmtId="173" fontId="146" fillId="0" borderId="0" xfId="43" applyNumberFormat="1" applyFont="1" applyFill="1" applyBorder="1" applyAlignment="1">
      <alignment vertical="center" wrapText="1"/>
    </xf>
    <xf numFmtId="173" fontId="144" fillId="0" borderId="0" xfId="0" applyNumberFormat="1" applyFont="1" applyFill="1" applyBorder="1" applyAlignment="1">
      <alignment horizontal="center"/>
    </xf>
    <xf numFmtId="173" fontId="147" fillId="0" borderId="0" xfId="0" applyNumberFormat="1" applyFont="1" applyBorder="1" applyAlignment="1">
      <alignment vertical="center"/>
    </xf>
    <xf numFmtId="0" fontId="149" fillId="0" borderId="0" xfId="0" applyFont="1" applyBorder="1" applyAlignment="1">
      <alignment horizontal="left" wrapText="1" indent="1"/>
    </xf>
    <xf numFmtId="3" fontId="149" fillId="0" borderId="0" xfId="0" applyNumberFormat="1" applyFont="1" applyBorder="1" applyAlignment="1">
      <alignment horizontal="center" wrapText="1"/>
    </xf>
    <xf numFmtId="0" fontId="150" fillId="0" borderId="0" xfId="0" applyFont="1" applyFill="1" applyBorder="1" applyAlignment="1">
      <alignment horizontal="center" vertical="top" wrapText="1"/>
    </xf>
    <xf numFmtId="0" fontId="149" fillId="0" borderId="0" xfId="0" applyFont="1" applyBorder="1" applyAlignment="1">
      <alignment horizontal="center" wrapText="1"/>
    </xf>
    <xf numFmtId="0" fontId="144" fillId="0" borderId="0" xfId="0" applyFont="1" applyBorder="1" applyAlignment="1">
      <alignment horizontal="left" vertical="center" wrapText="1"/>
    </xf>
    <xf numFmtId="173" fontId="107" fillId="0" borderId="0" xfId="0" applyNumberFormat="1" applyFont="1" applyBorder="1" applyAlignment="1">
      <alignment horizontal="center" vertical="center"/>
    </xf>
    <xf numFmtId="173" fontId="107" fillId="0" borderId="0" xfId="0" applyNumberFormat="1" applyFont="1" applyFill="1" applyBorder="1" applyAlignment="1">
      <alignment horizontal="center" vertical="center"/>
    </xf>
    <xf numFmtId="173" fontId="60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3" fontId="9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173" fontId="9" fillId="0" borderId="0" xfId="0" applyNumberFormat="1" applyFont="1" applyAlignment="1" applyProtection="1">
      <alignment vertical="center"/>
      <protection locked="0"/>
    </xf>
    <xf numFmtId="0" fontId="128" fillId="0" borderId="0" xfId="0" applyFont="1" applyBorder="1" applyAlignment="1">
      <alignment vertical="center"/>
    </xf>
    <xf numFmtId="173" fontId="124" fillId="0" borderId="0" xfId="0" applyNumberFormat="1" applyFont="1" applyBorder="1" applyAlignment="1" applyProtection="1">
      <alignment horizontal="right" vertical="center"/>
      <protection locked="0"/>
    </xf>
    <xf numFmtId="0" fontId="124" fillId="0" borderId="0" xfId="0" applyFont="1" applyBorder="1" applyAlignment="1">
      <alignment vertical="center"/>
    </xf>
    <xf numFmtId="173" fontId="128" fillId="0" borderId="0" xfId="0" applyNumberFormat="1" applyFont="1" applyBorder="1" applyAlignment="1" applyProtection="1">
      <alignment horizontal="right" vertical="center"/>
      <protection locked="0"/>
    </xf>
    <xf numFmtId="0" fontId="124" fillId="0" borderId="0" xfId="0" applyFont="1" applyAlignment="1">
      <alignment vertical="center"/>
    </xf>
    <xf numFmtId="173" fontId="86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wrapText="1"/>
    </xf>
    <xf numFmtId="0" fontId="74" fillId="0" borderId="0" xfId="0" applyFont="1" applyAlignment="1">
      <alignment vertical="center"/>
    </xf>
    <xf numFmtId="0" fontId="145" fillId="0" borderId="0" xfId="42" applyFont="1" applyBorder="1" applyAlignment="1" applyProtection="1">
      <alignment/>
      <protection/>
    </xf>
    <xf numFmtId="0" fontId="128" fillId="0" borderId="0" xfId="0" applyFont="1" applyBorder="1" applyAlignment="1">
      <alignment/>
    </xf>
    <xf numFmtId="0" fontId="152" fillId="0" borderId="0" xfId="0" applyFont="1" applyBorder="1" applyAlignment="1">
      <alignment/>
    </xf>
    <xf numFmtId="0" fontId="15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7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53" fillId="0" borderId="0" xfId="0" applyFont="1" applyBorder="1" applyAlignment="1">
      <alignment horizontal="center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 locked="0"/>
    </xf>
    <xf numFmtId="0" fontId="60" fillId="0" borderId="0" xfId="0" applyFont="1" applyFill="1" applyBorder="1" applyAlignment="1">
      <alignment horizontal="center" vertical="center"/>
    </xf>
    <xf numFmtId="0" fontId="60" fillId="26" borderId="0" xfId="0" applyFont="1" applyFill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0" fillId="0" borderId="42" xfId="0" applyFont="1" applyFill="1" applyBorder="1" applyAlignment="1" applyProtection="1">
      <alignment horizontal="left" vertical="center"/>
      <protection locked="0"/>
    </xf>
    <xf numFmtId="0" fontId="85" fillId="24" borderId="56" xfId="0" applyFont="1" applyFill="1" applyBorder="1" applyAlignment="1">
      <alignment horizontal="center" wrapText="1"/>
    </xf>
    <xf numFmtId="0" fontId="60" fillId="24" borderId="56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85" fillId="24" borderId="16" xfId="0" applyFont="1" applyFill="1" applyBorder="1" applyAlignment="1">
      <alignment horizontal="center" wrapText="1"/>
    </xf>
    <xf numFmtId="0" fontId="60" fillId="24" borderId="62" xfId="0" applyFont="1" applyFill="1" applyBorder="1" applyAlignment="1">
      <alignment wrapText="1"/>
    </xf>
    <xf numFmtId="0" fontId="60" fillId="24" borderId="62" xfId="0" applyFont="1" applyFill="1" applyBorder="1" applyAlignment="1">
      <alignment horizontal="center" wrapText="1"/>
    </xf>
    <xf numFmtId="0" fontId="85" fillId="24" borderId="52" xfId="0" applyFont="1" applyFill="1" applyBorder="1" applyAlignment="1">
      <alignment horizontal="left" wrapText="1" indent="1"/>
    </xf>
    <xf numFmtId="3" fontId="155" fillId="24" borderId="62" xfId="0" applyNumberFormat="1" applyFont="1" applyFill="1" applyBorder="1" applyAlignment="1">
      <alignment horizontal="center" wrapText="1"/>
    </xf>
    <xf numFmtId="0" fontId="85" fillId="24" borderId="43" xfId="0" applyFont="1" applyFill="1" applyBorder="1" applyAlignment="1">
      <alignment horizontal="left" wrapText="1" indent="1"/>
    </xf>
    <xf numFmtId="0" fontId="85" fillId="24" borderId="62" xfId="0" applyFont="1" applyFill="1" applyBorder="1" applyAlignment="1">
      <alignment horizontal="left" wrapText="1" indent="1"/>
    </xf>
    <xf numFmtId="0" fontId="85" fillId="24" borderId="62" xfId="0" applyFont="1" applyFill="1" applyBorder="1" applyAlignment="1">
      <alignment horizontal="center" wrapText="1"/>
    </xf>
    <xf numFmtId="173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wrapText="1"/>
    </xf>
    <xf numFmtId="0" fontId="51" fillId="0" borderId="62" xfId="0" applyFont="1" applyBorder="1" applyAlignment="1">
      <alignment horizontal="center" wrapText="1"/>
    </xf>
    <xf numFmtId="0" fontId="60" fillId="0" borderId="42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85" fillId="24" borderId="14" xfId="0" applyFont="1" applyFill="1" applyBorder="1" applyAlignment="1">
      <alignment horizontal="left" vertical="top" wrapText="1" indent="1"/>
    </xf>
    <xf numFmtId="0" fontId="60" fillId="24" borderId="18" xfId="0" applyFont="1" applyFill="1" applyBorder="1" applyAlignment="1">
      <alignment horizontal="center" wrapText="1"/>
    </xf>
    <xf numFmtId="3" fontId="155" fillId="24" borderId="18" xfId="0" applyNumberFormat="1" applyFont="1" applyFill="1" applyBorder="1" applyAlignment="1">
      <alignment horizontal="center" wrapText="1"/>
    </xf>
    <xf numFmtId="0" fontId="155" fillId="24" borderId="18" xfId="0" applyFont="1" applyFill="1" applyBorder="1" applyAlignment="1">
      <alignment horizontal="center" wrapText="1"/>
    </xf>
    <xf numFmtId="0" fontId="85" fillId="24" borderId="18" xfId="0" applyFont="1" applyFill="1" applyBorder="1" applyAlignment="1">
      <alignment horizontal="center"/>
    </xf>
    <xf numFmtId="0" fontId="85" fillId="24" borderId="18" xfId="0" applyFont="1" applyFill="1" applyBorder="1" applyAlignment="1">
      <alignment horizontal="center" wrapText="1"/>
    </xf>
    <xf numFmtId="0" fontId="85" fillId="24" borderId="52" xfId="0" applyFont="1" applyFill="1" applyBorder="1" applyAlignment="1">
      <alignment horizontal="left" vertical="top" wrapText="1" indent="1"/>
    </xf>
    <xf numFmtId="0" fontId="60" fillId="24" borderId="62" xfId="0" applyFont="1" applyFill="1" applyBorder="1" applyAlignment="1">
      <alignment horizontal="center"/>
    </xf>
    <xf numFmtId="0" fontId="85" fillId="24" borderId="62" xfId="0" applyFont="1" applyFill="1" applyBorder="1" applyAlignment="1">
      <alignment horizontal="center"/>
    </xf>
    <xf numFmtId="3" fontId="155" fillId="24" borderId="62" xfId="0" applyNumberFormat="1" applyFont="1" applyFill="1" applyBorder="1" applyAlignment="1">
      <alignment horizontal="center" vertical="top" wrapText="1"/>
    </xf>
    <xf numFmtId="0" fontId="156" fillId="0" borderId="0" xfId="0" applyFont="1" applyBorder="1" applyAlignment="1" applyProtection="1">
      <alignment vertical="center"/>
      <protection locked="0"/>
    </xf>
    <xf numFmtId="0" fontId="86" fillId="0" borderId="0" xfId="0" applyFont="1" applyBorder="1" applyAlignment="1">
      <alignment vertical="center"/>
    </xf>
    <xf numFmtId="0" fontId="145" fillId="0" borderId="0" xfId="42" applyFont="1" applyAlignment="1" applyProtection="1">
      <alignment/>
      <protection/>
    </xf>
    <xf numFmtId="0" fontId="128" fillId="0" borderId="0" xfId="0" applyFont="1" applyAlignment="1">
      <alignment/>
    </xf>
    <xf numFmtId="0" fontId="152" fillId="0" borderId="0" xfId="0" applyFont="1" applyAlignment="1">
      <alignment/>
    </xf>
    <xf numFmtId="0" fontId="153" fillId="0" borderId="0" xfId="0" applyFont="1" applyAlignment="1">
      <alignment/>
    </xf>
    <xf numFmtId="0" fontId="7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0" fillId="0" borderId="0" xfId="0" applyFont="1" applyAlignment="1">
      <alignment horizontal="justify" wrapText="1"/>
    </xf>
    <xf numFmtId="0" fontId="60" fillId="0" borderId="0" xfId="0" applyFont="1" applyAlignment="1">
      <alignment wrapText="1"/>
    </xf>
    <xf numFmtId="0" fontId="36" fillId="0" borderId="52" xfId="0" applyFont="1" applyBorder="1" applyAlignment="1">
      <alignment horizontal="right" wrapText="1"/>
    </xf>
    <xf numFmtId="0" fontId="36" fillId="0" borderId="62" xfId="0" applyFont="1" applyBorder="1" applyAlignment="1">
      <alignment horizontal="center" wrapText="1"/>
    </xf>
    <xf numFmtId="3" fontId="155" fillId="0" borderId="62" xfId="0" applyNumberFormat="1" applyFont="1" applyBorder="1" applyAlignment="1">
      <alignment horizontal="center" wrapText="1"/>
    </xf>
    <xf numFmtId="0" fontId="85" fillId="0" borderId="62" xfId="0" applyFont="1" applyBorder="1" applyAlignment="1">
      <alignment horizontal="center" wrapText="1"/>
    </xf>
    <xf numFmtId="0" fontId="36" fillId="0" borderId="62" xfId="0" applyFont="1" applyBorder="1" applyAlignment="1">
      <alignment horizontal="right" wrapText="1"/>
    </xf>
    <xf numFmtId="0" fontId="36" fillId="0" borderId="62" xfId="0" applyFont="1" applyBorder="1" applyAlignment="1">
      <alignment horizontal="center"/>
    </xf>
    <xf numFmtId="3" fontId="155" fillId="0" borderId="62" xfId="0" applyNumberFormat="1" applyFont="1" applyBorder="1" applyAlignment="1">
      <alignment horizontal="center"/>
    </xf>
    <xf numFmtId="0" fontId="86" fillId="0" borderId="0" xfId="0" applyFont="1" applyAlignment="1">
      <alignment horizontal="left"/>
    </xf>
    <xf numFmtId="0" fontId="85" fillId="0" borderId="18" xfId="0" applyFont="1" applyFill="1" applyBorder="1" applyAlignment="1" applyProtection="1">
      <alignment horizontal="center" vertical="center" wrapText="1"/>
      <protection locked="0"/>
    </xf>
    <xf numFmtId="0" fontId="159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160" fillId="0" borderId="0" xfId="42" applyFont="1" applyAlignment="1" applyProtection="1">
      <alignment horizontal="left"/>
      <protection/>
    </xf>
    <xf numFmtId="0" fontId="154" fillId="0" borderId="0" xfId="0" applyFont="1" applyAlignment="1">
      <alignment horizontal="left"/>
    </xf>
    <xf numFmtId="0" fontId="74" fillId="0" borderId="0" xfId="0" applyFont="1" applyAlignment="1">
      <alignment horizontal="left" wrapText="1"/>
    </xf>
    <xf numFmtId="0" fontId="155" fillId="0" borderId="62" xfId="0" applyFont="1" applyBorder="1" applyAlignment="1">
      <alignment horizontal="center" wrapText="1"/>
    </xf>
    <xf numFmtId="0" fontId="155" fillId="0" borderId="62" xfId="0" applyFont="1" applyBorder="1" applyAlignment="1">
      <alignment horizontal="right" wrapText="1"/>
    </xf>
    <xf numFmtId="0" fontId="85" fillId="0" borderId="62" xfId="0" applyFont="1" applyBorder="1" applyAlignment="1">
      <alignment horizontal="center"/>
    </xf>
    <xf numFmtId="0" fontId="155" fillId="0" borderId="62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3" fillId="0" borderId="0" xfId="0" applyFont="1" applyAlignment="1" applyProtection="1">
      <alignment horizontal="left" vertical="center"/>
      <protection locked="0"/>
    </xf>
    <xf numFmtId="173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85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53" xfId="0" applyNumberFormat="1" applyFont="1" applyBorder="1" applyAlignment="1" applyProtection="1">
      <alignment horizontal="left" vertical="center" wrapText="1"/>
      <protection locked="0"/>
    </xf>
    <xf numFmtId="0" fontId="70" fillId="0" borderId="64" xfId="42" applyFont="1" applyBorder="1" applyAlignment="1" applyProtection="1">
      <alignment horizontal="left" vertical="center"/>
      <protection locked="0"/>
    </xf>
    <xf numFmtId="0" fontId="3" fillId="0" borderId="64" xfId="42" applyFont="1" applyBorder="1" applyAlignment="1" applyProtection="1">
      <alignment horizontal="left" vertical="center"/>
      <protection locked="0"/>
    </xf>
    <xf numFmtId="0" fontId="53" fillId="0" borderId="64" xfId="0" applyNumberFormat="1" applyFont="1" applyBorder="1" applyAlignment="1" applyProtection="1">
      <alignment horizontal="left" vertical="center"/>
      <protection locked="0"/>
    </xf>
    <xf numFmtId="173" fontId="53" fillId="0" borderId="64" xfId="0" applyNumberFormat="1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>
      <alignment vertical="center"/>
    </xf>
    <xf numFmtId="173" fontId="3" fillId="0" borderId="64" xfId="0" applyNumberFormat="1" applyFont="1" applyBorder="1" applyAlignment="1" applyProtection="1">
      <alignment horizontal="left" vertical="center"/>
      <protection locked="0"/>
    </xf>
    <xf numFmtId="173" fontId="3" fillId="0" borderId="0" xfId="0" applyNumberFormat="1" applyFont="1" applyAlignment="1" applyProtection="1">
      <alignment vertical="center"/>
      <protection locked="0"/>
    </xf>
    <xf numFmtId="0" fontId="165" fillId="0" borderId="0" xfId="0" applyFont="1" applyAlignment="1">
      <alignment vertical="center"/>
    </xf>
    <xf numFmtId="173" fontId="166" fillId="0" borderId="53" xfId="0" applyNumberFormat="1" applyFont="1" applyBorder="1" applyAlignment="1" applyProtection="1">
      <alignment horizontal="right" vertical="center"/>
      <protection locked="0"/>
    </xf>
    <xf numFmtId="0" fontId="167" fillId="0" borderId="0" xfId="0" applyFont="1" applyAlignment="1">
      <alignment vertical="center"/>
    </xf>
    <xf numFmtId="173" fontId="168" fillId="0" borderId="0" xfId="0" applyNumberFormat="1" applyFont="1" applyBorder="1" applyAlignment="1" applyProtection="1">
      <alignment horizontal="right" vertical="center"/>
      <protection locked="0"/>
    </xf>
    <xf numFmtId="0" fontId="47" fillId="0" borderId="0" xfId="0" applyFont="1" applyAlignment="1">
      <alignment vertical="center"/>
    </xf>
    <xf numFmtId="0" fontId="71" fillId="0" borderId="17" xfId="0" applyFont="1" applyFill="1" applyBorder="1" applyAlignment="1" applyProtection="1">
      <alignment horizontal="center" vertical="center" wrapText="1"/>
      <protection locked="0"/>
    </xf>
    <xf numFmtId="0" fontId="71" fillId="0" borderId="14" xfId="0" applyFont="1" applyFill="1" applyBorder="1" applyAlignment="1" applyProtection="1">
      <alignment horizontal="center" vertical="center" wrapText="1"/>
      <protection locked="0"/>
    </xf>
    <xf numFmtId="173" fontId="7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60" xfId="0" applyFont="1" applyFill="1" applyBorder="1" applyAlignment="1" applyProtection="1">
      <alignment horizontal="center" vertical="center"/>
      <protection locked="0"/>
    </xf>
    <xf numFmtId="173" fontId="7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 vertical="center"/>
    </xf>
    <xf numFmtId="0" fontId="60" fillId="0" borderId="75" xfId="0" applyFont="1" applyFill="1" applyBorder="1" applyAlignment="1" applyProtection="1">
      <alignment vertical="center"/>
      <protection locked="0"/>
    </xf>
    <xf numFmtId="0" fontId="60" fillId="0" borderId="49" xfId="0" applyFont="1" applyFill="1" applyBorder="1" applyAlignment="1" applyProtection="1">
      <alignment horizontal="right" vertical="center"/>
      <protection locked="0"/>
    </xf>
    <xf numFmtId="173" fontId="60" fillId="0" borderId="19" xfId="0" applyNumberFormat="1" applyFont="1" applyFill="1" applyBorder="1" applyAlignment="1" applyProtection="1">
      <alignment horizontal="center" vertical="center"/>
      <protection locked="0"/>
    </xf>
    <xf numFmtId="173" fontId="60" fillId="0" borderId="75" xfId="0" applyNumberFormat="1" applyFont="1" applyFill="1" applyBorder="1" applyAlignment="1" applyProtection="1">
      <alignment horizontal="center" vertical="center"/>
      <protection locked="0"/>
    </xf>
    <xf numFmtId="173" fontId="60" fillId="0" borderId="49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1" fontId="60" fillId="0" borderId="75" xfId="0" applyNumberFormat="1" applyFont="1" applyFill="1" applyBorder="1" applyAlignment="1" applyProtection="1">
      <alignment horizontal="center" vertical="center"/>
      <protection locked="0"/>
    </xf>
    <xf numFmtId="0" fontId="71" fillId="0" borderId="82" xfId="0" applyFont="1" applyFill="1" applyBorder="1" applyAlignment="1" applyProtection="1">
      <alignment horizontal="center" vertical="center"/>
      <protection locked="0"/>
    </xf>
    <xf numFmtId="0" fontId="169" fillId="0" borderId="49" xfId="0" applyFont="1" applyFill="1" applyBorder="1" applyAlignment="1">
      <alignment horizontal="center" vertical="center"/>
    </xf>
    <xf numFmtId="0" fontId="169" fillId="0" borderId="0" xfId="0" applyFont="1" applyAlignment="1">
      <alignment vertical="center"/>
    </xf>
    <xf numFmtId="0" fontId="169" fillId="26" borderId="0" xfId="0" applyFont="1" applyFill="1" applyAlignment="1">
      <alignment vertical="center"/>
    </xf>
    <xf numFmtId="0" fontId="60" fillId="0" borderId="21" xfId="0" applyFont="1" applyFill="1" applyBorder="1" applyAlignment="1" applyProtection="1">
      <alignment vertical="center"/>
      <protection locked="0"/>
    </xf>
    <xf numFmtId="0" fontId="60" fillId="0" borderId="37" xfId="0" applyFont="1" applyFill="1" applyBorder="1" applyAlignment="1" applyProtection="1">
      <alignment horizontal="right" vertical="center"/>
      <protection locked="0"/>
    </xf>
    <xf numFmtId="173" fontId="60" fillId="0" borderId="21" xfId="0" applyNumberFormat="1" applyFont="1" applyFill="1" applyBorder="1" applyAlignment="1" applyProtection="1">
      <alignment horizontal="center" vertical="center"/>
      <protection locked="0"/>
    </xf>
    <xf numFmtId="173" fontId="60" fillId="0" borderId="37" xfId="0" applyNumberFormat="1" applyFont="1" applyFill="1" applyBorder="1" applyAlignment="1" applyProtection="1">
      <alignment horizontal="right" vertical="center"/>
      <protection locked="0"/>
    </xf>
    <xf numFmtId="1" fontId="60" fillId="0" borderId="21" xfId="0" applyNumberFormat="1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169" fillId="0" borderId="37" xfId="0" applyFont="1" applyFill="1" applyBorder="1" applyAlignment="1">
      <alignment horizontal="center" vertical="center"/>
    </xf>
    <xf numFmtId="0" fontId="60" fillId="0" borderId="21" xfId="0" applyFont="1" applyFill="1" applyBorder="1" applyAlignment="1" applyProtection="1">
      <alignment horizontal="left" vertical="center"/>
      <protection locked="0"/>
    </xf>
    <xf numFmtId="11" fontId="60" fillId="0" borderId="37" xfId="0" applyNumberFormat="1" applyFont="1" applyFill="1" applyBorder="1" applyAlignment="1" applyProtection="1">
      <alignment horizontal="right" vertical="center"/>
      <protection locked="0"/>
    </xf>
    <xf numFmtId="1" fontId="60" fillId="0" borderId="15" xfId="0" applyNumberFormat="1" applyFont="1" applyFill="1" applyBorder="1" applyAlignment="1" applyProtection="1">
      <alignment horizontal="center" vertical="center"/>
      <protection locked="0"/>
    </xf>
    <xf numFmtId="0" fontId="60" fillId="0" borderId="59" xfId="0" applyFont="1" applyFill="1" applyBorder="1" applyAlignment="1" applyProtection="1">
      <alignment horizontal="left" vertical="center"/>
      <protection locked="0"/>
    </xf>
    <xf numFmtId="173" fontId="60" fillId="0" borderId="15" xfId="0" applyNumberFormat="1" applyFont="1" applyFill="1" applyBorder="1" applyAlignment="1" applyProtection="1">
      <alignment horizontal="center" vertical="center"/>
      <protection locked="0"/>
    </xf>
    <xf numFmtId="0" fontId="60" fillId="0" borderId="32" xfId="0" applyFont="1" applyFill="1" applyBorder="1" applyAlignment="1" applyProtection="1">
      <alignment vertical="center"/>
      <protection locked="0"/>
    </xf>
    <xf numFmtId="0" fontId="60" fillId="0" borderId="50" xfId="0" applyFont="1" applyFill="1" applyBorder="1" applyAlignment="1" applyProtection="1">
      <alignment horizontal="right" vertical="center"/>
      <protection locked="0"/>
    </xf>
    <xf numFmtId="173" fontId="60" fillId="0" borderId="28" xfId="0" applyNumberFormat="1" applyFont="1" applyFill="1" applyBorder="1" applyAlignment="1" applyProtection="1">
      <alignment horizontal="center" vertical="center"/>
      <protection locked="0"/>
    </xf>
    <xf numFmtId="173" fontId="60" fillId="0" borderId="50" xfId="0" applyNumberFormat="1" applyFont="1" applyFill="1" applyBorder="1" applyAlignment="1" applyProtection="1">
      <alignment horizontal="right" vertical="center"/>
      <protection locked="0"/>
    </xf>
    <xf numFmtId="173" fontId="60" fillId="0" borderId="63" xfId="0" applyNumberFormat="1" applyFont="1" applyFill="1" applyBorder="1" applyAlignment="1" applyProtection="1">
      <alignment horizontal="center" vertical="center"/>
      <protection locked="0"/>
    </xf>
    <xf numFmtId="1" fontId="60" fillId="0" borderId="28" xfId="0" applyNumberFormat="1" applyFont="1" applyFill="1" applyBorder="1" applyAlignment="1" applyProtection="1">
      <alignment horizontal="center" vertical="center"/>
      <protection locked="0"/>
    </xf>
    <xf numFmtId="0" fontId="60" fillId="0" borderId="61" xfId="0" applyFont="1" applyFill="1" applyBorder="1" applyAlignment="1" applyProtection="1">
      <alignment horizontal="left" vertical="center"/>
      <protection locked="0"/>
    </xf>
    <xf numFmtId="0" fontId="60" fillId="0" borderId="32" xfId="0" applyFont="1" applyFill="1" applyBorder="1" applyAlignment="1" applyProtection="1">
      <alignment horizontal="left" vertical="center"/>
      <protection locked="0"/>
    </xf>
    <xf numFmtId="173" fontId="60" fillId="0" borderId="50" xfId="0" applyNumberFormat="1" applyFont="1" applyFill="1" applyBorder="1" applyAlignment="1" applyProtection="1">
      <alignment horizontal="center" vertical="center"/>
      <protection locked="0"/>
    </xf>
    <xf numFmtId="0" fontId="85" fillId="0" borderId="41" xfId="0" applyFont="1" applyFill="1" applyBorder="1" applyAlignment="1" applyProtection="1">
      <alignment horizontal="center" vertical="center" wrapText="1"/>
      <protection locked="0"/>
    </xf>
    <xf numFmtId="0" fontId="85" fillId="0" borderId="14" xfId="0" applyFont="1" applyFill="1" applyBorder="1" applyAlignment="1" applyProtection="1">
      <alignment horizontal="center" vertical="center" wrapText="1"/>
      <protection locked="0"/>
    </xf>
    <xf numFmtId="0" fontId="85" fillId="0" borderId="17" xfId="0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Fill="1" applyBorder="1" applyAlignment="1">
      <alignment vertical="center"/>
    </xf>
    <xf numFmtId="0" fontId="60" fillId="0" borderId="57" xfId="0" applyFont="1" applyFill="1" applyBorder="1" applyAlignment="1">
      <alignment vertical="center"/>
    </xf>
    <xf numFmtId="0" fontId="60" fillId="0" borderId="36" xfId="0" applyFont="1" applyFill="1" applyBorder="1" applyAlignment="1">
      <alignment horizontal="right" vertical="center"/>
    </xf>
    <xf numFmtId="0" fontId="169" fillId="0" borderId="36" xfId="0" applyFont="1" applyFill="1" applyBorder="1" applyAlignment="1">
      <alignment horizontal="center" vertical="center"/>
    </xf>
    <xf numFmtId="0" fontId="60" fillId="0" borderId="19" xfId="0" applyFont="1" applyFill="1" applyBorder="1" applyAlignment="1" applyProtection="1">
      <alignment horizontal="left" vertical="center"/>
      <protection locked="0"/>
    </xf>
    <xf numFmtId="0" fontId="60" fillId="0" borderId="57" xfId="0" applyFont="1" applyFill="1" applyBorder="1" applyAlignment="1" applyProtection="1">
      <alignment horizontal="center" vertical="center"/>
      <protection locked="0"/>
    </xf>
    <xf numFmtId="0" fontId="60" fillId="0" borderId="36" xfId="0" applyFont="1" applyFill="1" applyBorder="1" applyAlignment="1" applyProtection="1">
      <alignment horizontal="right" vertical="center"/>
      <protection locked="0"/>
    </xf>
    <xf numFmtId="0" fontId="60" fillId="0" borderId="75" xfId="0" applyFont="1" applyFill="1" applyBorder="1" applyAlignment="1" applyProtection="1">
      <alignment horizontal="left" vertical="center"/>
      <protection locked="0"/>
    </xf>
    <xf numFmtId="0" fontId="60" fillId="0" borderId="82" xfId="0" applyFont="1" applyFill="1" applyBorder="1" applyAlignment="1" applyProtection="1">
      <alignment horizontal="center" vertical="center"/>
      <protection locked="0"/>
    </xf>
    <xf numFmtId="0" fontId="60" fillId="0" borderId="82" xfId="0" applyFont="1" applyFill="1" applyBorder="1" applyAlignment="1" applyProtection="1">
      <alignment horizontal="left" vertical="center"/>
      <protection locked="0"/>
    </xf>
    <xf numFmtId="0" fontId="60" fillId="0" borderId="21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0" fillId="0" borderId="37" xfId="0" applyFont="1" applyFill="1" applyBorder="1" applyAlignment="1">
      <alignment horizontal="right" vertical="center"/>
    </xf>
    <xf numFmtId="0" fontId="60" fillId="0" borderId="15" xfId="0" applyFont="1" applyFill="1" applyBorder="1" applyAlignment="1" applyProtection="1">
      <alignment horizontal="center" vertical="center"/>
      <protection locked="0"/>
    </xf>
    <xf numFmtId="0" fontId="6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60" fillId="0" borderId="28" xfId="0" applyFont="1" applyFill="1" applyBorder="1" applyAlignment="1">
      <alignment vertical="center"/>
    </xf>
    <xf numFmtId="0" fontId="60" fillId="0" borderId="63" xfId="0" applyFont="1" applyFill="1" applyBorder="1" applyAlignment="1">
      <alignment vertical="center"/>
    </xf>
    <xf numFmtId="0" fontId="60" fillId="0" borderId="47" xfId="0" applyFont="1" applyFill="1" applyBorder="1" applyAlignment="1">
      <alignment horizontal="right" vertical="center"/>
    </xf>
    <xf numFmtId="0" fontId="60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>
      <alignment/>
    </xf>
    <xf numFmtId="0" fontId="60" fillId="0" borderId="35" xfId="0" applyFont="1" applyFill="1" applyBorder="1" applyAlignment="1" applyProtection="1">
      <alignment horizontal="left" vertical="center"/>
      <protection locked="0"/>
    </xf>
    <xf numFmtId="0" fontId="60" fillId="0" borderId="32" xfId="0" applyFont="1" applyFill="1" applyBorder="1" applyAlignment="1">
      <alignment vertical="center"/>
    </xf>
    <xf numFmtId="0" fontId="60" fillId="0" borderId="35" xfId="0" applyFont="1" applyFill="1" applyBorder="1" applyAlignment="1">
      <alignment vertical="center"/>
    </xf>
    <xf numFmtId="0" fontId="60" fillId="0" borderId="50" xfId="0" applyFont="1" applyFill="1" applyBorder="1" applyAlignment="1">
      <alignment horizontal="right" vertical="center"/>
    </xf>
    <xf numFmtId="0" fontId="169" fillId="0" borderId="50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156" fillId="0" borderId="34" xfId="0" applyFont="1" applyBorder="1" applyAlignment="1" applyProtection="1">
      <alignment vertical="center"/>
      <protection locked="0"/>
    </xf>
    <xf numFmtId="0" fontId="156" fillId="0" borderId="0" xfId="0" applyFont="1" applyBorder="1" applyAlignment="1" applyProtection="1">
      <alignment horizontal="left" vertical="center"/>
      <protection locked="0"/>
    </xf>
    <xf numFmtId="0" fontId="86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right" vertical="center" wrapText="1"/>
      <protection locked="0"/>
    </xf>
    <xf numFmtId="173" fontId="60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104" fillId="0" borderId="0" xfId="0" applyFont="1" applyAlignment="1">
      <alignment vertical="center"/>
    </xf>
    <xf numFmtId="0" fontId="60" fillId="0" borderId="0" xfId="0" applyFont="1" applyBorder="1" applyAlignment="1" applyProtection="1">
      <alignment horizontal="center" vertical="center"/>
      <protection locked="0"/>
    </xf>
    <xf numFmtId="173" fontId="60" fillId="20" borderId="0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173" fontId="53" fillId="2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center"/>
    </xf>
    <xf numFmtId="0" fontId="170" fillId="0" borderId="40" xfId="0" applyFont="1" applyFill="1" applyBorder="1" applyAlignment="1">
      <alignment horizontal="center" vertical="center"/>
    </xf>
    <xf numFmtId="0" fontId="71" fillId="0" borderId="17" xfId="0" applyFont="1" applyFill="1" applyBorder="1" applyAlignment="1" applyProtection="1">
      <alignment horizontal="center" vertical="center"/>
      <protection locked="0"/>
    </xf>
    <xf numFmtId="0" fontId="71" fillId="0" borderId="60" xfId="0" applyFont="1" applyFill="1" applyBorder="1" applyAlignment="1" applyProtection="1">
      <alignment horizontal="center" vertical="center"/>
      <protection locked="0"/>
    </xf>
    <xf numFmtId="0" fontId="163" fillId="0" borderId="0" xfId="0" applyFont="1" applyAlignment="1" applyProtection="1">
      <alignment horizontal="left" vertical="center"/>
      <protection locked="0"/>
    </xf>
    <xf numFmtId="0" fontId="53" fillId="0" borderId="0" xfId="0" applyNumberFormat="1" applyFont="1" applyBorder="1" applyAlignment="1" applyProtection="1">
      <alignment horizontal="left" vertical="center" wrapText="1"/>
      <protection locked="0"/>
    </xf>
    <xf numFmtId="173" fontId="164" fillId="0" borderId="0" xfId="0" applyNumberFormat="1" applyFont="1" applyFill="1" applyBorder="1" applyAlignment="1" applyProtection="1">
      <alignment horizontal="center" vertical="center"/>
      <protection locked="0"/>
    </xf>
    <xf numFmtId="173" fontId="50" fillId="0" borderId="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wrapText="1"/>
    </xf>
    <xf numFmtId="0" fontId="0" fillId="0" borderId="40" xfId="0" applyFont="1" applyBorder="1" applyAlignment="1">
      <alignment wrapText="1"/>
    </xf>
    <xf numFmtId="173" fontId="50" fillId="0" borderId="40" xfId="0" applyNumberFormat="1" applyFont="1" applyBorder="1" applyAlignment="1" applyProtection="1">
      <alignment horizontal="center" vertical="center" wrapText="1"/>
      <protection locked="0"/>
    </xf>
    <xf numFmtId="0" fontId="164" fillId="0" borderId="34" xfId="0" applyFont="1" applyFill="1" applyBorder="1" applyAlignment="1">
      <alignment horizontal="center" vertical="center"/>
    </xf>
    <xf numFmtId="0" fontId="164" fillId="0" borderId="40" xfId="0" applyFont="1" applyFill="1" applyBorder="1" applyAlignment="1">
      <alignment horizontal="center" vertical="center"/>
    </xf>
    <xf numFmtId="0" fontId="170" fillId="0" borderId="0" xfId="0" applyFont="1" applyFill="1" applyBorder="1" applyAlignment="1">
      <alignment horizontal="center" vertical="center"/>
    </xf>
    <xf numFmtId="0" fontId="85" fillId="0" borderId="54" xfId="0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154" fillId="0" borderId="0" xfId="0" applyFont="1" applyBorder="1" applyAlignment="1">
      <alignment horizontal="center"/>
    </xf>
    <xf numFmtId="0" fontId="51" fillId="24" borderId="17" xfId="0" applyFont="1" applyFill="1" applyBorder="1" applyAlignment="1">
      <alignment horizontal="center" wrapText="1"/>
    </xf>
    <xf numFmtId="0" fontId="51" fillId="24" borderId="60" xfId="0" applyFont="1" applyFill="1" applyBorder="1" applyAlignment="1">
      <alignment horizontal="center" wrapText="1"/>
    </xf>
    <xf numFmtId="0" fontId="51" fillId="24" borderId="18" xfId="0" applyFont="1" applyFill="1" applyBorder="1" applyAlignment="1">
      <alignment horizontal="center" wrapText="1"/>
    </xf>
    <xf numFmtId="0" fontId="51" fillId="0" borderId="41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153" fillId="0" borderId="0" xfId="0" applyFont="1" applyAlignment="1">
      <alignment wrapText="1"/>
    </xf>
    <xf numFmtId="0" fontId="157" fillId="0" borderId="17" xfId="0" applyFont="1" applyBorder="1" applyAlignment="1">
      <alignment wrapText="1"/>
    </xf>
    <xf numFmtId="0" fontId="157" fillId="0" borderId="18" xfId="0" applyFont="1" applyBorder="1" applyAlignment="1">
      <alignment wrapText="1"/>
    </xf>
    <xf numFmtId="0" fontId="154" fillId="0" borderId="40" xfId="0" applyFont="1" applyBorder="1" applyAlignment="1">
      <alignment horizontal="left" wrapText="1"/>
    </xf>
    <xf numFmtId="0" fontId="154" fillId="0" borderId="0" xfId="0" applyFont="1" applyAlignment="1">
      <alignment horizontal="left" wrapText="1"/>
    </xf>
    <xf numFmtId="0" fontId="159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173" fontId="124" fillId="0" borderId="0" xfId="43" applyNumberFormat="1" applyFont="1" applyFill="1" applyBorder="1" applyAlignment="1">
      <alignment horizontal="center" vertical="center"/>
    </xf>
    <xf numFmtId="173" fontId="128" fillId="0" borderId="37" xfId="0" applyNumberFormat="1" applyFont="1" applyFill="1" applyBorder="1" applyAlignment="1">
      <alignment horizontal="center" vertical="center"/>
    </xf>
    <xf numFmtId="173" fontId="74" fillId="0" borderId="0" xfId="0" applyNumberFormat="1" applyFont="1" applyAlignment="1">
      <alignment horizontal="center" vertical="center" wrapText="1"/>
    </xf>
    <xf numFmtId="173" fontId="126" fillId="0" borderId="0" xfId="0" applyNumberFormat="1" applyFont="1" applyAlignment="1">
      <alignment horizontal="center" vertical="center" wrapText="1"/>
    </xf>
    <xf numFmtId="173" fontId="86" fillId="0" borderId="0" xfId="0" applyNumberFormat="1" applyFont="1" applyFill="1" applyAlignment="1">
      <alignment horizontal="center" vertical="center" wrapText="1"/>
    </xf>
    <xf numFmtId="173" fontId="86" fillId="0" borderId="40" xfId="0" applyNumberFormat="1" applyFont="1" applyFill="1" applyBorder="1" applyAlignment="1">
      <alignment horizontal="center" vertical="center" wrapText="1"/>
    </xf>
    <xf numFmtId="173" fontId="86" fillId="0" borderId="59" xfId="0" applyNumberFormat="1" applyFont="1" applyFill="1" applyBorder="1" applyAlignment="1">
      <alignment horizontal="left" vertical="center"/>
    </xf>
    <xf numFmtId="173" fontId="86" fillId="0" borderId="11" xfId="0" applyNumberFormat="1" applyFont="1" applyFill="1" applyBorder="1" applyAlignment="1">
      <alignment horizontal="left" vertical="center"/>
    </xf>
    <xf numFmtId="173" fontId="86" fillId="0" borderId="22" xfId="0" applyNumberFormat="1" applyFont="1" applyFill="1" applyBorder="1" applyAlignment="1">
      <alignment horizontal="left" vertical="center"/>
    </xf>
    <xf numFmtId="173" fontId="86" fillId="0" borderId="59" xfId="0" applyNumberFormat="1" applyFont="1" applyFill="1" applyBorder="1" applyAlignment="1">
      <alignment horizontal="left" vertical="center" wrapText="1"/>
    </xf>
    <xf numFmtId="173" fontId="86" fillId="0" borderId="11" xfId="0" applyNumberFormat="1" applyFont="1" applyFill="1" applyBorder="1" applyAlignment="1">
      <alignment horizontal="left" vertical="center" wrapText="1"/>
    </xf>
    <xf numFmtId="173" fontId="86" fillId="0" borderId="22" xfId="0" applyNumberFormat="1" applyFont="1" applyFill="1" applyBorder="1" applyAlignment="1">
      <alignment horizontal="left" vertical="center" wrapText="1"/>
    </xf>
    <xf numFmtId="173" fontId="86" fillId="0" borderId="0" xfId="0" applyNumberFormat="1" applyFont="1" applyFill="1" applyAlignment="1">
      <alignment horizontal="center" vertical="center"/>
    </xf>
    <xf numFmtId="173" fontId="128" fillId="0" borderId="50" xfId="0" applyNumberFormat="1" applyFont="1" applyFill="1" applyBorder="1" applyAlignment="1">
      <alignment horizontal="center" vertical="center"/>
    </xf>
    <xf numFmtId="0" fontId="74" fillId="0" borderId="59" xfId="55" applyFont="1" applyFill="1" applyBorder="1" applyAlignment="1">
      <alignment horizontal="left" vertical="center" wrapText="1"/>
      <protection/>
    </xf>
    <xf numFmtId="0" fontId="74" fillId="0" borderId="11" xfId="55" applyFont="1" applyFill="1" applyBorder="1" applyAlignment="1">
      <alignment horizontal="left" vertical="center" wrapText="1"/>
      <protection/>
    </xf>
    <xf numFmtId="0" fontId="74" fillId="0" borderId="22" xfId="55" applyFont="1" applyFill="1" applyBorder="1" applyAlignment="1">
      <alignment horizontal="left" vertical="center" wrapText="1"/>
      <protection/>
    </xf>
    <xf numFmtId="0" fontId="74" fillId="0" borderId="59" xfId="0" applyFont="1" applyBorder="1" applyAlignment="1">
      <alignment horizontal="left" wrapText="1"/>
    </xf>
    <xf numFmtId="0" fontId="74" fillId="0" borderId="11" xfId="0" applyFont="1" applyBorder="1" applyAlignment="1">
      <alignment horizontal="left" wrapText="1"/>
    </xf>
    <xf numFmtId="0" fontId="74" fillId="0" borderId="22" xfId="0" applyFont="1" applyBorder="1" applyAlignment="1">
      <alignment horizontal="left" wrapText="1"/>
    </xf>
    <xf numFmtId="0" fontId="74" fillId="0" borderId="61" xfId="0" applyFont="1" applyBorder="1" applyAlignment="1">
      <alignment horizontal="left" wrapText="1"/>
    </xf>
    <xf numFmtId="0" fontId="74" fillId="0" borderId="12" xfId="0" applyFont="1" applyBorder="1" applyAlignment="1">
      <alignment horizontal="left" wrapText="1"/>
    </xf>
    <xf numFmtId="0" fontId="74" fillId="0" borderId="27" xfId="0" applyFont="1" applyBorder="1" applyAlignment="1">
      <alignment horizontal="left" wrapText="1"/>
    </xf>
    <xf numFmtId="173" fontId="105" fillId="0" borderId="0" xfId="0" applyNumberFormat="1" applyFont="1" applyAlignment="1">
      <alignment horizontal="center" vertical="center"/>
    </xf>
    <xf numFmtId="173" fontId="105" fillId="0" borderId="0" xfId="0" applyNumberFormat="1" applyFont="1" applyBorder="1" applyAlignment="1">
      <alignment horizontal="left" vertical="center" wrapText="1"/>
    </xf>
    <xf numFmtId="173" fontId="111" fillId="0" borderId="64" xfId="42" applyNumberFormat="1" applyFont="1" applyBorder="1" applyAlignment="1" applyProtection="1">
      <alignment horizontal="left" vertical="center"/>
      <protection/>
    </xf>
    <xf numFmtId="173" fontId="105" fillId="0" borderId="0" xfId="0" applyNumberFormat="1" applyFont="1" applyBorder="1" applyAlignment="1">
      <alignment horizontal="center" vertical="center"/>
    </xf>
    <xf numFmtId="173" fontId="106" fillId="0" borderId="0" xfId="0" applyNumberFormat="1" applyFont="1" applyBorder="1" applyAlignment="1">
      <alignment horizontal="left" vertical="center"/>
    </xf>
    <xf numFmtId="173" fontId="148" fillId="0" borderId="0" xfId="0" applyNumberFormat="1" applyFont="1" applyBorder="1" applyAlignment="1">
      <alignment horizontal="center" vertical="center"/>
    </xf>
    <xf numFmtId="173" fontId="143" fillId="0" borderId="0" xfId="43" applyNumberFormat="1" applyFont="1" applyFill="1" applyBorder="1" applyAlignment="1">
      <alignment horizontal="center" vertical="center" wrapText="1"/>
    </xf>
    <xf numFmtId="173" fontId="141" fillId="0" borderId="54" xfId="0" applyNumberFormat="1" applyFont="1" applyBorder="1" applyAlignment="1">
      <alignment horizontal="center" vertical="center" shrinkToFit="1"/>
    </xf>
    <xf numFmtId="173" fontId="141" fillId="0" borderId="42" xfId="0" applyNumberFormat="1" applyFont="1" applyBorder="1" applyAlignment="1">
      <alignment horizontal="center" vertical="center" shrinkToFit="1"/>
    </xf>
    <xf numFmtId="173" fontId="140" fillId="0" borderId="17" xfId="0" applyNumberFormat="1" applyFont="1" applyFill="1" applyBorder="1" applyAlignment="1">
      <alignment horizontal="center" vertical="center"/>
    </xf>
    <xf numFmtId="173" fontId="140" fillId="0" borderId="18" xfId="0" applyNumberFormat="1" applyFont="1" applyFill="1" applyBorder="1" applyAlignment="1">
      <alignment horizontal="center" vertical="center"/>
    </xf>
    <xf numFmtId="173" fontId="140" fillId="0" borderId="135" xfId="0" applyNumberFormat="1" applyFont="1" applyFill="1" applyBorder="1" applyAlignment="1">
      <alignment horizontal="center" vertical="center"/>
    </xf>
    <xf numFmtId="173" fontId="140" fillId="0" borderId="136" xfId="0" applyNumberFormat="1" applyFont="1" applyFill="1" applyBorder="1" applyAlignment="1">
      <alignment horizontal="center" vertical="center"/>
    </xf>
    <xf numFmtId="173" fontId="141" fillId="0" borderId="56" xfId="0" applyNumberFormat="1" applyFont="1" applyBorder="1" applyAlignment="1">
      <alignment horizontal="center" vertical="center" shrinkToFit="1"/>
    </xf>
    <xf numFmtId="173" fontId="141" fillId="0" borderId="16" xfId="0" applyNumberFormat="1" applyFont="1" applyBorder="1" applyAlignment="1">
      <alignment horizontal="center" vertical="center" shrinkToFit="1"/>
    </xf>
    <xf numFmtId="173" fontId="132" fillId="0" borderId="0" xfId="0" applyNumberFormat="1" applyFont="1" applyAlignment="1">
      <alignment horizontal="left" vertical="center"/>
    </xf>
    <xf numFmtId="173" fontId="140" fillId="0" borderId="0" xfId="0" applyNumberFormat="1" applyFont="1" applyFill="1" applyAlignment="1">
      <alignment horizontal="center" vertical="center" wrapText="1"/>
    </xf>
    <xf numFmtId="173" fontId="134" fillId="0" borderId="0" xfId="0" applyNumberFormat="1" applyFont="1" applyAlignment="1">
      <alignment horizontal="center" vertical="center"/>
    </xf>
    <xf numFmtId="173" fontId="135" fillId="0" borderId="0" xfId="0" applyNumberFormat="1" applyFont="1" applyAlignment="1">
      <alignment horizontal="center" vertical="center"/>
    </xf>
    <xf numFmtId="173" fontId="134" fillId="0" borderId="0" xfId="0" applyNumberFormat="1" applyFont="1" applyBorder="1" applyAlignment="1">
      <alignment horizontal="center" vertical="center"/>
    </xf>
    <xf numFmtId="173" fontId="133" fillId="0" borderId="0" xfId="0" applyNumberFormat="1" applyFont="1" applyBorder="1" applyAlignment="1">
      <alignment horizontal="left" vertical="center"/>
    </xf>
    <xf numFmtId="173" fontId="134" fillId="0" borderId="0" xfId="0" applyNumberFormat="1" applyFont="1" applyBorder="1" applyAlignment="1">
      <alignment horizontal="center" vertical="center" wrapText="1"/>
    </xf>
    <xf numFmtId="173" fontId="134" fillId="0" borderId="0" xfId="0" applyNumberFormat="1" applyFont="1" applyBorder="1" applyAlignment="1">
      <alignment horizontal="left" vertical="center"/>
    </xf>
    <xf numFmtId="173" fontId="138" fillId="0" borderId="0" xfId="42" applyNumberFormat="1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center" vertical="center"/>
      <protection hidden="1" locked="0"/>
    </xf>
    <xf numFmtId="0" fontId="56" fillId="0" borderId="0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173" fontId="12" fillId="0" borderId="34" xfId="0" applyNumberFormat="1" applyFont="1" applyBorder="1" applyAlignment="1" applyProtection="1">
      <alignment horizontal="center" vertical="center"/>
      <protection hidden="1" locked="0"/>
    </xf>
    <xf numFmtId="173" fontId="12" fillId="0" borderId="40" xfId="0" applyNumberFormat="1" applyFont="1" applyBorder="1" applyAlignment="1" applyProtection="1">
      <alignment horizontal="center" vertical="center"/>
      <protection hidden="1" locked="0"/>
    </xf>
    <xf numFmtId="173" fontId="14" fillId="0" borderId="42" xfId="0" applyNumberFormat="1" applyFont="1" applyBorder="1" applyAlignment="1" applyProtection="1">
      <alignment horizontal="center" vertical="center"/>
      <protection hidden="1" locked="0"/>
    </xf>
    <xf numFmtId="173" fontId="14" fillId="0" borderId="0" xfId="0" applyNumberFormat="1" applyFont="1" applyBorder="1" applyAlignment="1" applyProtection="1">
      <alignment horizontal="center" vertical="center"/>
      <protection hidden="1" locked="0"/>
    </xf>
    <xf numFmtId="173" fontId="14" fillId="0" borderId="80" xfId="0" applyNumberFormat="1" applyFont="1" applyBorder="1" applyAlignment="1" applyProtection="1">
      <alignment horizontal="center" vertical="center"/>
      <protection hidden="1" locked="0"/>
    </xf>
    <xf numFmtId="173" fontId="14" fillId="0" borderId="40" xfId="0" applyNumberFormat="1" applyFont="1" applyBorder="1" applyAlignment="1" applyProtection="1">
      <alignment horizontal="center" vertical="center"/>
      <protection hidden="1" locked="0"/>
    </xf>
    <xf numFmtId="173" fontId="53" fillId="0" borderId="0" xfId="0" applyNumberFormat="1" applyFont="1" applyAlignment="1" applyProtection="1">
      <alignment horizontal="center" vertical="center"/>
      <protection hidden="1" locked="0"/>
    </xf>
    <xf numFmtId="0" fontId="12" fillId="0" borderId="73" xfId="0" applyNumberFormat="1" applyFont="1" applyBorder="1" applyAlignment="1">
      <alignment horizontal="lef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87" xfId="0" applyNumberFormat="1" applyFont="1" applyBorder="1" applyAlignment="1">
      <alignment horizontal="left" vertical="center"/>
    </xf>
    <xf numFmtId="173" fontId="54" fillId="0" borderId="64" xfId="0" applyNumberFormat="1" applyFont="1" applyBorder="1" applyAlignment="1" applyProtection="1">
      <alignment horizontal="center" vertical="center"/>
      <protection hidden="1" locked="0"/>
    </xf>
    <xf numFmtId="0" fontId="8" fillId="0" borderId="56" xfId="0" applyFont="1" applyBorder="1" applyAlignment="1" applyProtection="1">
      <alignment horizontal="center" vertical="center"/>
      <protection hidden="1" locked="0"/>
    </xf>
    <xf numFmtId="0" fontId="8" fillId="0" borderId="62" xfId="0" applyFont="1" applyBorder="1" applyAlignment="1" applyProtection="1">
      <alignment horizontal="center" vertical="center"/>
      <protection hidden="1" locked="0"/>
    </xf>
    <xf numFmtId="173" fontId="53" fillId="0" borderId="64" xfId="0" applyNumberFormat="1" applyFont="1" applyBorder="1" applyAlignment="1" applyProtection="1">
      <alignment horizontal="center" vertical="center"/>
      <protection hidden="1" locked="0"/>
    </xf>
    <xf numFmtId="173" fontId="8" fillId="0" borderId="0" xfId="0" applyNumberFormat="1" applyFont="1" applyBorder="1" applyAlignment="1" applyProtection="1">
      <alignment horizontal="center" vertical="center"/>
      <protection hidden="1" locked="0"/>
    </xf>
    <xf numFmtId="0" fontId="85" fillId="0" borderId="0" xfId="42" applyFont="1" applyBorder="1" applyAlignment="1" applyProtection="1">
      <alignment horizontal="center" vertical="center" wrapText="1"/>
      <protection hidden="1" locked="0"/>
    </xf>
    <xf numFmtId="0" fontId="8" fillId="0" borderId="0" xfId="42" applyFont="1" applyBorder="1" applyAlignment="1" applyProtection="1">
      <alignment horizontal="center" vertical="center" wrapText="1"/>
      <protection hidden="1" locked="0"/>
    </xf>
    <xf numFmtId="173" fontId="8" fillId="0" borderId="40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0" xfId="0" applyNumberFormat="1" applyFont="1" applyAlignment="1" applyProtection="1">
      <alignment horizontal="center" vertical="top" wrapText="1"/>
      <protection hidden="1" locked="0"/>
    </xf>
    <xf numFmtId="0" fontId="12" fillId="0" borderId="53" xfId="0" applyNumberFormat="1" applyFont="1" applyBorder="1" applyAlignment="1" applyProtection="1">
      <alignment vertical="center" wrapText="1"/>
      <protection hidden="1" locked="0"/>
    </xf>
    <xf numFmtId="173" fontId="12" fillId="0" borderId="0" xfId="0" applyNumberFormat="1" applyFont="1" applyBorder="1" applyAlignment="1" applyProtection="1">
      <alignment horizontal="center" vertical="center"/>
      <protection hidden="1" locked="0"/>
    </xf>
    <xf numFmtId="173" fontId="8" fillId="0" borderId="40" xfId="0" applyNumberFormat="1" applyFont="1" applyBorder="1" applyAlignment="1" applyProtection="1">
      <alignment horizontal="center"/>
      <protection hidden="1" locked="0"/>
    </xf>
    <xf numFmtId="0" fontId="8" fillId="0" borderId="17" xfId="0" applyFont="1" applyBorder="1" applyAlignment="1" applyProtection="1">
      <alignment horizontal="center" vertical="center"/>
      <protection hidden="1" locked="0"/>
    </xf>
    <xf numFmtId="0" fontId="8" fillId="0" borderId="60" xfId="0" applyFont="1" applyBorder="1" applyAlignment="1" applyProtection="1">
      <alignment horizontal="center" vertical="center"/>
      <protection hidden="1" locked="0"/>
    </xf>
    <xf numFmtId="0" fontId="8" fillId="0" borderId="18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12" fillId="0" borderId="16" xfId="0" applyFont="1" applyBorder="1" applyAlignment="1" applyProtection="1">
      <alignment horizontal="center" vertical="center"/>
      <protection hidden="1" locked="0"/>
    </xf>
    <xf numFmtId="0" fontId="60" fillId="0" borderId="54" xfId="0" applyFont="1" applyBorder="1" applyAlignment="1" applyProtection="1">
      <alignment horizontal="center" vertical="center"/>
      <protection hidden="1" locked="0"/>
    </xf>
    <xf numFmtId="0" fontId="60" fillId="0" borderId="34" xfId="0" applyFont="1" applyBorder="1" applyAlignment="1" applyProtection="1">
      <alignment horizontal="center" vertical="center"/>
      <protection hidden="1" locked="0"/>
    </xf>
    <xf numFmtId="0" fontId="60" fillId="0" borderId="80" xfId="0" applyFont="1" applyBorder="1" applyAlignment="1" applyProtection="1">
      <alignment horizontal="center" vertical="center"/>
      <protection hidden="1" locked="0"/>
    </xf>
    <xf numFmtId="0" fontId="60" fillId="0" borderId="40" xfId="0" applyFont="1" applyBorder="1" applyAlignment="1" applyProtection="1">
      <alignment horizontal="center" vertical="center"/>
      <protection hidden="1" locked="0"/>
    </xf>
    <xf numFmtId="0" fontId="69" fillId="0" borderId="40" xfId="0" applyFont="1" applyBorder="1" applyAlignment="1" applyProtection="1">
      <alignment horizontal="center" vertical="center"/>
      <protection locked="0"/>
    </xf>
    <xf numFmtId="0" fontId="69" fillId="0" borderId="62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9" fillId="0" borderId="60" xfId="0" applyFont="1" applyBorder="1" applyAlignment="1" applyProtection="1">
      <alignment horizontal="center" vertical="center"/>
      <protection locked="0"/>
    </xf>
    <xf numFmtId="0" fontId="69" fillId="0" borderId="18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173" fontId="10" fillId="0" borderId="34" xfId="0" applyNumberFormat="1" applyFont="1" applyBorder="1" applyAlignment="1" applyProtection="1">
      <alignment horizontal="center" vertical="center"/>
      <protection locked="0"/>
    </xf>
    <xf numFmtId="173" fontId="10" fillId="0" borderId="40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80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73" fontId="10" fillId="0" borderId="17" xfId="0" applyNumberFormat="1" applyFont="1" applyBorder="1" applyAlignment="1" applyProtection="1">
      <alignment horizontal="center" vertical="center"/>
      <protection locked="0"/>
    </xf>
    <xf numFmtId="173" fontId="10" fillId="0" borderId="6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173" fontId="10" fillId="0" borderId="80" xfId="0" applyNumberFormat="1" applyFont="1" applyBorder="1" applyAlignment="1" applyProtection="1">
      <alignment horizontal="center" vertical="center"/>
      <protection locked="0"/>
    </xf>
    <xf numFmtId="173" fontId="10" fillId="0" borderId="62" xfId="0" applyNumberFormat="1" applyFont="1" applyBorder="1" applyAlignment="1" applyProtection="1">
      <alignment horizontal="center" vertical="center"/>
      <protection locked="0"/>
    </xf>
    <xf numFmtId="173" fontId="11" fillId="0" borderId="17" xfId="0" applyNumberFormat="1" applyFont="1" applyBorder="1" applyAlignment="1" applyProtection="1">
      <alignment horizontal="center" vertical="center"/>
      <protection locked="0"/>
    </xf>
    <xf numFmtId="173" fontId="11" fillId="0" borderId="60" xfId="0" applyNumberFormat="1" applyFont="1" applyBorder="1" applyAlignment="1" applyProtection="1">
      <alignment horizontal="center" vertical="center"/>
      <protection locked="0"/>
    </xf>
    <xf numFmtId="173" fontId="11" fillId="0" borderId="18" xfId="0" applyNumberFormat="1" applyFont="1" applyBorder="1" applyAlignment="1" applyProtection="1">
      <alignment horizontal="center" vertical="center"/>
      <protection locked="0"/>
    </xf>
    <xf numFmtId="0" fontId="8" fillId="0" borderId="98" xfId="0" applyFont="1" applyBorder="1" applyAlignment="1" applyProtection="1">
      <alignment horizontal="center" vertical="center"/>
      <protection locked="0"/>
    </xf>
    <xf numFmtId="0" fontId="8" fillId="0" borderId="96" xfId="0" applyFont="1" applyBorder="1" applyAlignment="1" applyProtection="1">
      <alignment horizontal="center" vertical="center"/>
      <protection locked="0"/>
    </xf>
    <xf numFmtId="173" fontId="10" fillId="0" borderId="0" xfId="0" applyNumberFormat="1" applyFont="1" applyBorder="1" applyAlignment="1" applyProtection="1">
      <alignment horizontal="center" vertical="center"/>
      <protection locked="0"/>
    </xf>
    <xf numFmtId="173" fontId="8" fillId="0" borderId="0" xfId="0" applyNumberFormat="1" applyFont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14" fontId="53" fillId="0" borderId="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73" fontId="8" fillId="0" borderId="0" xfId="0" applyNumberFormat="1" applyFont="1" applyAlignment="1" applyProtection="1">
      <alignment horizontal="center" vertical="center" shrinkToFit="1"/>
      <protection locked="0"/>
    </xf>
    <xf numFmtId="0" fontId="80" fillId="0" borderId="0" xfId="0" applyFont="1" applyBorder="1" applyAlignment="1" applyProtection="1">
      <alignment horizontal="center" vertical="center"/>
      <protection locked="0"/>
    </xf>
    <xf numFmtId="174" fontId="13" fillId="22" borderId="109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9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74" fontId="13" fillId="22" borderId="17" xfId="0" applyNumberFormat="1" applyFont="1" applyFill="1" applyBorder="1" applyAlignment="1" applyProtection="1">
      <alignment horizontal="center" vertical="center" wrapText="1"/>
      <protection locked="0"/>
    </xf>
    <xf numFmtId="174" fontId="13" fillId="22" borderId="18" xfId="0" applyNumberFormat="1" applyFont="1" applyFill="1" applyBorder="1" applyAlignment="1" applyProtection="1">
      <alignment horizontal="center" vertical="center" wrapText="1"/>
      <protection locked="0"/>
    </xf>
    <xf numFmtId="173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left" vertical="center" wrapText="1"/>
      <protection locked="0"/>
    </xf>
    <xf numFmtId="0" fontId="40" fillId="0" borderId="64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173" fontId="22" fillId="0" borderId="0" xfId="0" applyNumberFormat="1" applyFont="1" applyBorder="1" applyAlignment="1" applyProtection="1">
      <alignment horizontal="center" vertical="center"/>
      <protection locked="0"/>
    </xf>
    <xf numFmtId="173" fontId="22" fillId="0" borderId="40" xfId="0" applyNumberFormat="1" applyFont="1" applyBorder="1" applyAlignment="1" applyProtection="1">
      <alignment horizontal="center" vertical="center"/>
      <protection locked="0"/>
    </xf>
    <xf numFmtId="0" fontId="39" fillId="0" borderId="60" xfId="0" applyFont="1" applyBorder="1" applyAlignment="1" applyProtection="1">
      <alignment horizontal="center" vertical="center" wrapText="1"/>
      <protection locked="0"/>
    </xf>
    <xf numFmtId="173" fontId="39" fillId="0" borderId="60" xfId="0" applyNumberFormat="1" applyFont="1" applyBorder="1" applyAlignment="1" applyProtection="1">
      <alignment horizontal="center" vertical="center" wrapText="1"/>
      <protection locked="0"/>
    </xf>
    <xf numFmtId="0" fontId="36" fillId="0" borderId="60" xfId="0" applyFont="1" applyBorder="1" applyAlignment="1" applyProtection="1">
      <alignment horizontal="center" vertical="center" wrapText="1"/>
      <protection locked="0"/>
    </xf>
    <xf numFmtId="173" fontId="29" fillId="0" borderId="34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173" fontId="22" fillId="0" borderId="40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173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NumberFormat="1" applyFont="1" applyBorder="1" applyAlignment="1" applyProtection="1">
      <alignment horizontal="center" vertical="center" wrapText="1"/>
      <protection locked="0"/>
    </xf>
    <xf numFmtId="173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3" fontId="25" fillId="0" borderId="0" xfId="0" applyNumberFormat="1" applyFont="1" applyBorder="1" applyAlignment="1" applyProtection="1">
      <alignment horizontal="center" vertical="center"/>
      <protection locked="0"/>
    </xf>
    <xf numFmtId="173" fontId="26" fillId="0" borderId="0" xfId="0" applyNumberFormat="1" applyFont="1" applyBorder="1" applyAlignment="1" applyProtection="1">
      <alignment horizontal="center" vertical="center"/>
      <protection locked="0"/>
    </xf>
    <xf numFmtId="173" fontId="26" fillId="0" borderId="0" xfId="0" applyNumberFormat="1" applyFont="1" applyAlignment="1" applyProtection="1">
      <alignment horizontal="center" vertical="center"/>
      <protection locked="0"/>
    </xf>
    <xf numFmtId="173" fontId="25" fillId="0" borderId="40" xfId="0" applyNumberFormat="1" applyFont="1" applyBorder="1" applyAlignment="1" applyProtection="1">
      <alignment horizontal="center" vertical="center"/>
      <protection locked="0"/>
    </xf>
    <xf numFmtId="173" fontId="26" fillId="0" borderId="40" xfId="0" applyNumberFormat="1" applyFont="1" applyBorder="1" applyAlignment="1" applyProtection="1">
      <alignment horizontal="center" vertical="center"/>
      <protection locked="0"/>
    </xf>
    <xf numFmtId="173" fontId="22" fillId="0" borderId="53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36" fillId="0" borderId="53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173" fontId="33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3" fontId="25" fillId="0" borderId="0" xfId="0" applyNumberFormat="1" applyFont="1" applyFill="1" applyBorder="1" applyAlignment="1" applyProtection="1">
      <alignment horizontal="center" vertical="center"/>
      <protection locked="0"/>
    </xf>
    <xf numFmtId="173" fontId="27" fillId="0" borderId="0" xfId="0" applyNumberFormat="1" applyFont="1" applyBorder="1" applyAlignment="1" applyProtection="1">
      <alignment horizontal="left" vertical="center" wrapText="1"/>
      <protection locked="0"/>
    </xf>
    <xf numFmtId="173" fontId="21" fillId="0" borderId="0" xfId="0" applyNumberFormat="1" applyFont="1" applyBorder="1" applyAlignment="1" applyProtection="1">
      <alignment horizontal="left" vertical="center" wrapText="1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173" fontId="25" fillId="0" borderId="34" xfId="0" applyNumberFormat="1" applyFont="1" applyBorder="1" applyAlignment="1" applyProtection="1">
      <alignment horizontal="center" vertical="center" wrapText="1"/>
      <protection locked="0"/>
    </xf>
    <xf numFmtId="0" fontId="25" fillId="0" borderId="40" xfId="0" applyFont="1" applyFill="1" applyBorder="1" applyAlignment="1" applyProtection="1">
      <alignment vertical="center"/>
      <protection locked="0"/>
    </xf>
    <xf numFmtId="0" fontId="26" fillId="0" borderId="40" xfId="0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49" fontId="11" fillId="24" borderId="0" xfId="0" applyNumberFormat="1" applyFont="1" applyFill="1" applyBorder="1" applyAlignment="1" applyProtection="1">
      <alignment horizontal="center" vertical="center"/>
      <protection locked="0"/>
    </xf>
    <xf numFmtId="173" fontId="51" fillId="0" borderId="34" xfId="0" applyNumberFormat="1" applyFont="1" applyBorder="1" applyAlignment="1" applyProtection="1">
      <alignment horizontal="center" vertical="center"/>
      <protection locked="0"/>
    </xf>
    <xf numFmtId="173" fontId="51" fillId="0" borderId="0" xfId="0" applyNumberFormat="1" applyFont="1" applyBorder="1" applyAlignment="1" applyProtection="1">
      <alignment horizontal="center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173" fontId="82" fillId="0" borderId="0" xfId="0" applyNumberFormat="1" applyFont="1" applyAlignment="1" applyProtection="1">
      <alignment horizontal="center" vertical="center"/>
      <protection locked="0"/>
    </xf>
    <xf numFmtId="0" fontId="82" fillId="0" borderId="0" xfId="0" applyNumberFormat="1" applyFont="1" applyFill="1" applyBorder="1" applyAlignment="1" applyProtection="1">
      <alignment horizontal="center" vertical="center"/>
      <protection locked="0"/>
    </xf>
    <xf numFmtId="173" fontId="81" fillId="0" borderId="0" xfId="0" applyNumberFormat="1" applyFont="1" applyBorder="1" applyAlignment="1" applyProtection="1">
      <alignment horizontal="center" vertical="center"/>
      <protection locked="0"/>
    </xf>
    <xf numFmtId="173" fontId="12" fillId="0" borderId="0" xfId="0" applyNumberFormat="1" applyFont="1" applyAlignment="1" applyProtection="1">
      <alignment horizontal="center" vertical="center"/>
      <protection locked="0"/>
    </xf>
    <xf numFmtId="173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0" fillId="0" borderId="0" xfId="42" applyFont="1" applyBorder="1" applyAlignment="1" applyProtection="1">
      <alignment horizontal="center" vertical="center" wrapText="1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73" fontId="10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73" fontId="8" fillId="0" borderId="0" xfId="0" applyNumberFormat="1" applyFont="1" applyBorder="1" applyAlignment="1" applyProtection="1">
      <alignment horizontal="center" vertical="center" wrapText="1"/>
      <protection locked="0"/>
    </xf>
    <xf numFmtId="173" fontId="51" fillId="0" borderId="82" xfId="0" applyNumberFormat="1" applyFont="1" applyFill="1" applyBorder="1" applyAlignment="1" applyProtection="1">
      <alignment horizontal="center" vertical="center"/>
      <protection locked="0"/>
    </xf>
    <xf numFmtId="173" fontId="11" fillId="0" borderId="17" xfId="0" applyNumberFormat="1" applyFont="1" applyBorder="1" applyAlignment="1" applyProtection="1">
      <alignment horizontal="center" vertical="center" wrapText="1"/>
      <protection locked="0"/>
    </xf>
    <xf numFmtId="173" fontId="11" fillId="0" borderId="34" xfId="0" applyNumberFormat="1" applyFont="1" applyBorder="1" applyAlignment="1" applyProtection="1">
      <alignment horizontal="center" vertical="center" wrapText="1"/>
      <protection locked="0"/>
    </xf>
    <xf numFmtId="173" fontId="11" fillId="0" borderId="56" xfId="0" applyNumberFormat="1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73" fontId="13" fillId="0" borderId="0" xfId="0" applyNumberFormat="1" applyFont="1" applyBorder="1" applyAlignment="1" applyProtection="1">
      <alignment horizontal="center" vertical="center" wrapText="1"/>
      <protection locked="0"/>
    </xf>
    <xf numFmtId="173" fontId="8" fillId="0" borderId="0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бщий прайс от 01.04.08г." xfId="54"/>
    <cellStyle name="Обычный_Прайс ЭЦВ 3л(нов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7</xdr:row>
      <xdr:rowOff>333375</xdr:rowOff>
    </xdr:from>
    <xdr:to>
      <xdr:col>11</xdr:col>
      <xdr:colOff>361950</xdr:colOff>
      <xdr:row>39</xdr:row>
      <xdr:rowOff>190500</xdr:rowOff>
    </xdr:to>
    <xdr:sp>
      <xdr:nvSpPr>
        <xdr:cNvPr id="1" name="WordArt 5"/>
        <xdr:cNvSpPr>
          <a:spLocks/>
        </xdr:cNvSpPr>
      </xdr:nvSpPr>
      <xdr:spPr>
        <a:xfrm rot="5400000">
          <a:off x="11363325" y="2466975"/>
          <a:ext cx="533400" cy="9734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Насосы погружные - скважинные  со склада в  Туле.                 Гарантия завода 15 месяцев.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361950</xdr:colOff>
      <xdr:row>39</xdr:row>
      <xdr:rowOff>28575</xdr:rowOff>
    </xdr:from>
    <xdr:ext cx="85725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9134475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idrouzel.3dn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idrouzel.3dn.ru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pno2@bk.ru" TargetMode="External" /><Relationship Id="rId2" Type="http://schemas.openxmlformats.org/officeDocument/2006/relationships/hyperlink" Target="mailto:tpno2@bk.ru" TargetMode="External" /><Relationship Id="rId3" Type="http://schemas.openxmlformats.org/officeDocument/2006/relationships/hyperlink" Target="mailto:tpno2@bk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="75" zoomScaleSheetLayoutView="75" workbookViewId="0" topLeftCell="A82">
      <selection activeCell="A98" sqref="A98"/>
    </sheetView>
  </sheetViews>
  <sheetFormatPr defaultColWidth="9.00390625" defaultRowHeight="30" customHeight="1"/>
  <cols>
    <col min="1" max="1" width="35.875" style="1705" customWidth="1"/>
    <col min="2" max="2" width="0.2421875" style="1705" customWidth="1"/>
    <col min="3" max="3" width="19.00390625" style="1705" customWidth="1"/>
    <col min="4" max="4" width="16.00390625" style="1850" customWidth="1"/>
    <col min="5" max="5" width="0.875" style="1846" customWidth="1"/>
    <col min="6" max="6" width="35.375" style="1705" customWidth="1"/>
    <col min="7" max="7" width="0.2421875" style="1851" customWidth="1"/>
    <col min="8" max="9" width="17.75390625" style="1708" customWidth="1"/>
    <col min="10" max="10" width="1.37890625" style="1708" customWidth="1"/>
    <col min="11" max="11" width="6.875" style="1692" customWidth="1"/>
    <col min="12" max="12" width="5.625" style="1692" customWidth="1"/>
    <col min="13" max="16384" width="9.125" style="1692" customWidth="1"/>
  </cols>
  <sheetData>
    <row r="1" spans="1:10" s="1690" customFormat="1" ht="25.5" customHeight="1">
      <c r="A1" s="2178" t="s">
        <v>114</v>
      </c>
      <c r="B1" s="2178"/>
      <c r="C1" s="2178"/>
      <c r="D1" s="2178"/>
      <c r="E1" s="2178"/>
      <c r="F1" s="2178"/>
      <c r="G1" s="2178"/>
      <c r="H1" s="2178"/>
      <c r="I1" s="2178"/>
      <c r="J1" s="1689"/>
    </row>
    <row r="2" spans="1:10" s="1690" customFormat="1" ht="22.5" customHeight="1">
      <c r="A2" s="2178" t="s">
        <v>336</v>
      </c>
      <c r="B2" s="2178"/>
      <c r="C2" s="2178"/>
      <c r="D2" s="2178"/>
      <c r="E2" s="2178"/>
      <c r="F2" s="2178"/>
      <c r="G2" s="2178"/>
      <c r="H2" s="2178"/>
      <c r="I2" s="2178"/>
      <c r="J2" s="1689"/>
    </row>
    <row r="3" spans="1:10" ht="21" customHeight="1">
      <c r="A3" s="2181" t="s">
        <v>957</v>
      </c>
      <c r="B3" s="2181"/>
      <c r="C3" s="2181"/>
      <c r="D3" s="2181"/>
      <c r="E3" s="2181"/>
      <c r="F3" s="2181"/>
      <c r="G3" s="2181"/>
      <c r="H3" s="2181"/>
      <c r="I3" s="2181"/>
      <c r="J3" s="1691"/>
    </row>
    <row r="4" spans="1:10" ht="23.25" customHeight="1">
      <c r="A4" s="1693" t="s">
        <v>958</v>
      </c>
      <c r="B4" s="1691"/>
      <c r="C4" s="1691"/>
      <c r="D4" s="1693"/>
      <c r="E4" s="1694"/>
      <c r="F4" s="1695" t="s">
        <v>959</v>
      </c>
      <c r="G4" s="1696"/>
      <c r="H4" s="1697"/>
      <c r="I4" s="1697"/>
      <c r="J4" s="1697"/>
    </row>
    <row r="5" spans="1:10" ht="27.75" customHeight="1">
      <c r="A5" s="2179" t="s">
        <v>960</v>
      </c>
      <c r="B5" s="2179"/>
      <c r="C5" s="2179"/>
      <c r="D5" s="2179"/>
      <c r="E5" s="1698"/>
      <c r="F5" s="2182" t="s">
        <v>961</v>
      </c>
      <c r="G5" s="2182"/>
      <c r="H5" s="2182"/>
      <c r="I5" s="2182"/>
      <c r="J5" s="1695"/>
    </row>
    <row r="6" spans="1:10" ht="20.25" customHeight="1" thickBot="1">
      <c r="A6" s="2180" t="s">
        <v>1203</v>
      </c>
      <c r="B6" s="2180"/>
      <c r="C6" s="2180"/>
      <c r="D6" s="2180"/>
      <c r="E6" s="1699"/>
      <c r="F6" s="1700" t="s">
        <v>962</v>
      </c>
      <c r="G6" s="1701"/>
      <c r="H6" s="1702"/>
      <c r="I6" s="1703"/>
      <c r="J6" s="1704"/>
    </row>
    <row r="7" spans="2:9" ht="27.75" customHeight="1" thickBot="1" thickTop="1">
      <c r="B7" s="1706"/>
      <c r="C7" s="1706"/>
      <c r="D7" s="1706"/>
      <c r="E7" s="1706"/>
      <c r="F7" s="1707"/>
      <c r="G7" s="1706"/>
      <c r="H7" s="1706"/>
      <c r="I7" s="1707" t="s">
        <v>963</v>
      </c>
    </row>
    <row r="8" spans="1:10" s="1720" customFormat="1" ht="33.75" customHeight="1" thickBot="1">
      <c r="A8" s="1709" t="s">
        <v>171</v>
      </c>
      <c r="B8" s="1709"/>
      <c r="C8" s="1710" t="s">
        <v>964</v>
      </c>
      <c r="D8" s="1711" t="s">
        <v>965</v>
      </c>
      <c r="E8" s="1712"/>
      <c r="F8" s="1713" t="s">
        <v>171</v>
      </c>
      <c r="G8" s="1717"/>
      <c r="H8" s="1710" t="s">
        <v>964</v>
      </c>
      <c r="I8" s="1718" t="s">
        <v>965</v>
      </c>
      <c r="J8" s="1719"/>
    </row>
    <row r="9" spans="1:10" s="1731" customFormat="1" ht="24" customHeight="1">
      <c r="A9" s="1721" t="s">
        <v>966</v>
      </c>
      <c r="B9" s="1722"/>
      <c r="C9" s="1723">
        <v>5650</v>
      </c>
      <c r="D9" s="1724">
        <f aca="true" t="shared" si="0" ref="D9:D18">C9*98/100</f>
        <v>5537</v>
      </c>
      <c r="E9" s="1725"/>
      <c r="F9" s="1726" t="s">
        <v>967</v>
      </c>
      <c r="G9" s="1727">
        <v>26314</v>
      </c>
      <c r="H9" s="1728">
        <f>G9*93/100</f>
        <v>24472.02</v>
      </c>
      <c r="I9" s="1729">
        <f>G9*91/100</f>
        <v>23945.74</v>
      </c>
      <c r="J9" s="1730"/>
    </row>
    <row r="10" spans="1:10" s="1731" customFormat="1" ht="24" customHeight="1">
      <c r="A10" s="1732" t="s">
        <v>968</v>
      </c>
      <c r="B10" s="1733"/>
      <c r="C10" s="1734">
        <v>6000</v>
      </c>
      <c r="D10" s="1735">
        <f t="shared" si="0"/>
        <v>5880</v>
      </c>
      <c r="E10" s="1725"/>
      <c r="F10" s="1736" t="s">
        <v>969</v>
      </c>
      <c r="G10" s="1737"/>
      <c r="H10" s="1734">
        <v>26314</v>
      </c>
      <c r="I10" s="1738">
        <f>H10*98/100</f>
        <v>25787.72</v>
      </c>
      <c r="J10" s="1730"/>
    </row>
    <row r="11" spans="1:10" s="1731" customFormat="1" ht="24" customHeight="1">
      <c r="A11" s="1732" t="s">
        <v>970</v>
      </c>
      <c r="B11" s="1733"/>
      <c r="C11" s="1734">
        <v>7049</v>
      </c>
      <c r="D11" s="1735">
        <f t="shared" si="0"/>
        <v>6908.02</v>
      </c>
      <c r="E11" s="1725"/>
      <c r="F11" s="1736" t="s">
        <v>971</v>
      </c>
      <c r="G11" s="1739">
        <v>27730</v>
      </c>
      <c r="H11" s="1740">
        <f>G11*93/100</f>
        <v>25788.9</v>
      </c>
      <c r="I11" s="1741">
        <f>G11*91/100</f>
        <v>25234.3</v>
      </c>
      <c r="J11" s="1742"/>
    </row>
    <row r="12" spans="1:10" s="1743" customFormat="1" ht="24" customHeight="1">
      <c r="A12" s="1732" t="s">
        <v>1976</v>
      </c>
      <c r="B12" s="1733"/>
      <c r="C12" s="1734">
        <v>7585</v>
      </c>
      <c r="D12" s="1735">
        <f t="shared" si="0"/>
        <v>7433.3</v>
      </c>
      <c r="E12" s="1725"/>
      <c r="F12" s="1736" t="s">
        <v>972</v>
      </c>
      <c r="G12" s="1737"/>
      <c r="H12" s="1734">
        <v>27730</v>
      </c>
      <c r="I12" s="1738">
        <f>H12*98/100</f>
        <v>27175.4</v>
      </c>
      <c r="J12" s="1742"/>
    </row>
    <row r="13" spans="1:10" s="1743" customFormat="1" ht="24" customHeight="1">
      <c r="A13" s="1732" t="s">
        <v>973</v>
      </c>
      <c r="B13" s="1733"/>
      <c r="C13" s="1734">
        <v>6755</v>
      </c>
      <c r="D13" s="1735">
        <f t="shared" si="0"/>
        <v>6619.9</v>
      </c>
      <c r="E13" s="1725"/>
      <c r="F13" s="1736" t="s">
        <v>974</v>
      </c>
      <c r="G13" s="1739">
        <v>29441</v>
      </c>
      <c r="H13" s="1740">
        <f>G13*93/100</f>
        <v>27380.13</v>
      </c>
      <c r="I13" s="1741">
        <f>G13*91/100</f>
        <v>26791.31</v>
      </c>
      <c r="J13" s="1742"/>
    </row>
    <row r="14" spans="1:10" s="1744" customFormat="1" ht="24" customHeight="1">
      <c r="A14" s="1732" t="s">
        <v>975</v>
      </c>
      <c r="B14" s="1733"/>
      <c r="C14" s="1734">
        <v>8020</v>
      </c>
      <c r="D14" s="1735">
        <f t="shared" si="0"/>
        <v>7859.6</v>
      </c>
      <c r="E14" s="1725"/>
      <c r="F14" s="1736" t="s">
        <v>976</v>
      </c>
      <c r="G14" s="1737"/>
      <c r="H14" s="1734">
        <v>29441</v>
      </c>
      <c r="I14" s="1738">
        <f>H14*98/100</f>
        <v>28852.18</v>
      </c>
      <c r="J14" s="1742"/>
    </row>
    <row r="15" spans="1:10" s="1744" customFormat="1" ht="24" customHeight="1">
      <c r="A15" s="1732" t="s">
        <v>977</v>
      </c>
      <c r="B15" s="1733"/>
      <c r="C15" s="1734">
        <v>10802</v>
      </c>
      <c r="D15" s="1735">
        <f t="shared" si="0"/>
        <v>10585.96</v>
      </c>
      <c r="E15" s="1725"/>
      <c r="F15" s="1745" t="s">
        <v>978</v>
      </c>
      <c r="G15" s="1739">
        <v>32096</v>
      </c>
      <c r="H15" s="1740">
        <f>G15*93/100</f>
        <v>29849.28</v>
      </c>
      <c r="I15" s="1741">
        <f>G15*91/100</f>
        <v>29207.36</v>
      </c>
      <c r="J15" s="1742"/>
    </row>
    <row r="16" spans="1:10" s="1744" customFormat="1" ht="24" customHeight="1">
      <c r="A16" s="1732" t="s">
        <v>979</v>
      </c>
      <c r="B16" s="1733"/>
      <c r="C16" s="1734">
        <v>17290</v>
      </c>
      <c r="D16" s="1735">
        <f t="shared" si="0"/>
        <v>16944.2</v>
      </c>
      <c r="E16" s="1725"/>
      <c r="F16" s="1745" t="s">
        <v>980</v>
      </c>
      <c r="G16" s="1746"/>
      <c r="H16" s="1734">
        <v>32096</v>
      </c>
      <c r="I16" s="1738">
        <f>H16*98/100</f>
        <v>31454.08</v>
      </c>
      <c r="J16" s="1742"/>
    </row>
    <row r="17" spans="1:10" s="1744" customFormat="1" ht="24" customHeight="1" thickBot="1">
      <c r="A17" s="1747" t="s">
        <v>981</v>
      </c>
      <c r="B17" s="1748"/>
      <c r="C17" s="1749">
        <v>17098</v>
      </c>
      <c r="D17" s="1750">
        <f t="shared" si="0"/>
        <v>16756.04</v>
      </c>
      <c r="E17" s="1725"/>
      <c r="F17" s="1751" t="s">
        <v>982</v>
      </c>
      <c r="G17" s="1752"/>
      <c r="H17" s="1753">
        <v>39117</v>
      </c>
      <c r="I17" s="1754">
        <f>H17*98/100</f>
        <v>38334.66</v>
      </c>
      <c r="J17" s="1742"/>
    </row>
    <row r="18" spans="1:10" s="1744" customFormat="1" ht="24" customHeight="1" thickBot="1">
      <c r="A18" s="1755" t="s">
        <v>983</v>
      </c>
      <c r="B18" s="1756"/>
      <c r="C18" s="1757">
        <v>20119</v>
      </c>
      <c r="D18" s="1758">
        <f t="shared" si="0"/>
        <v>19716.62</v>
      </c>
      <c r="E18" s="1759"/>
      <c r="F18" s="1760" t="s">
        <v>984</v>
      </c>
      <c r="G18" s="1761"/>
      <c r="H18" s="1723">
        <v>30385</v>
      </c>
      <c r="I18" s="1762">
        <f>H18*98/100</f>
        <v>29777.3</v>
      </c>
      <c r="J18" s="1742"/>
    </row>
    <row r="19" spans="1:10" s="1744" customFormat="1" ht="24" customHeight="1" thickBot="1">
      <c r="A19" s="1763" t="s">
        <v>985</v>
      </c>
      <c r="B19" s="1727">
        <v>22774</v>
      </c>
      <c r="C19" s="1728">
        <f>B19*93/100</f>
        <v>21179.82</v>
      </c>
      <c r="D19" s="1729">
        <f>B19*91/100</f>
        <v>20724.34</v>
      </c>
      <c r="E19" s="1759">
        <v>16225</v>
      </c>
      <c r="F19" s="1751" t="s">
        <v>986</v>
      </c>
      <c r="G19" s="1752"/>
      <c r="H19" s="1753">
        <v>30975</v>
      </c>
      <c r="I19" s="1754">
        <f>H19*98/100</f>
        <v>30355.5</v>
      </c>
      <c r="J19" s="1742"/>
    </row>
    <row r="20" spans="1:10" s="1744" customFormat="1" ht="24" customHeight="1">
      <c r="A20" s="1764" t="s">
        <v>987</v>
      </c>
      <c r="B20" s="1737"/>
      <c r="C20" s="1734">
        <v>22774</v>
      </c>
      <c r="D20" s="1738">
        <f>C20*98/100</f>
        <v>22318.52</v>
      </c>
      <c r="E20" s="1759">
        <v>16992</v>
      </c>
      <c r="F20" s="1726" t="s">
        <v>988</v>
      </c>
      <c r="G20" s="1727">
        <v>29972</v>
      </c>
      <c r="H20" s="1728">
        <f>G20*93/100</f>
        <v>27873.96</v>
      </c>
      <c r="I20" s="1729">
        <f>G20*91/100</f>
        <v>27274.52</v>
      </c>
      <c r="J20" s="1742"/>
    </row>
    <row r="21" spans="1:10" s="1744" customFormat="1" ht="24" customHeight="1">
      <c r="A21" s="1764" t="s">
        <v>989</v>
      </c>
      <c r="B21" s="1739">
        <v>23718</v>
      </c>
      <c r="C21" s="1740">
        <f>B21*93/100</f>
        <v>22057.74</v>
      </c>
      <c r="D21" s="1741">
        <f>B21*91/100</f>
        <v>21583.38</v>
      </c>
      <c r="E21" s="1759">
        <v>13098</v>
      </c>
      <c r="F21" s="1736" t="s">
        <v>990</v>
      </c>
      <c r="G21" s="1737"/>
      <c r="H21" s="1734">
        <v>29972</v>
      </c>
      <c r="I21" s="1738">
        <f>H21*98/100</f>
        <v>29372.56</v>
      </c>
      <c r="J21" s="1742"/>
    </row>
    <row r="22" spans="1:10" s="1744" customFormat="1" ht="24" customHeight="1" thickBot="1">
      <c r="A22" s="1765" t="s">
        <v>991</v>
      </c>
      <c r="B22" s="1766"/>
      <c r="C22" s="1753">
        <v>23718</v>
      </c>
      <c r="D22" s="1754">
        <f>C22*98/100</f>
        <v>23243.64</v>
      </c>
      <c r="E22" s="1759">
        <v>13393</v>
      </c>
      <c r="F22" s="1736" t="s">
        <v>1527</v>
      </c>
      <c r="G22" s="1739">
        <v>31270</v>
      </c>
      <c r="H22" s="1740">
        <f>G22*93/100</f>
        <v>29081.1</v>
      </c>
      <c r="I22" s="1741">
        <f>G22*91/100</f>
        <v>28455.7</v>
      </c>
      <c r="J22" s="1742"/>
    </row>
    <row r="23" spans="1:10" s="1744" customFormat="1" ht="24" customHeight="1">
      <c r="A23" s="1763" t="s">
        <v>992</v>
      </c>
      <c r="B23" s="1767">
        <v>18349</v>
      </c>
      <c r="C23" s="1728">
        <f>B23*93/100</f>
        <v>17064.57</v>
      </c>
      <c r="D23" s="1729">
        <f>B23*91/100</f>
        <v>16697.59</v>
      </c>
      <c r="E23" s="1759">
        <v>14101</v>
      </c>
      <c r="F23" s="1745" t="s">
        <v>993</v>
      </c>
      <c r="G23" s="1746"/>
      <c r="H23" s="1734">
        <v>31270</v>
      </c>
      <c r="I23" s="1738">
        <f>H23*98/100</f>
        <v>30644.6</v>
      </c>
      <c r="J23" s="1742"/>
    </row>
    <row r="24" spans="1:10" s="1744" customFormat="1" ht="24" customHeight="1">
      <c r="A24" s="1764" t="s">
        <v>994</v>
      </c>
      <c r="B24" s="1737"/>
      <c r="C24" s="1734">
        <v>18349</v>
      </c>
      <c r="D24" s="1738">
        <f>C24*98/100</f>
        <v>17982.02</v>
      </c>
      <c r="E24" s="1759">
        <v>14396</v>
      </c>
      <c r="F24" s="1745" t="s">
        <v>1528</v>
      </c>
      <c r="G24" s="1739">
        <v>43778</v>
      </c>
      <c r="H24" s="1740">
        <f>G24*93/100</f>
        <v>40713.54</v>
      </c>
      <c r="I24" s="1741">
        <f>G24*91/100</f>
        <v>39837.98</v>
      </c>
      <c r="J24" s="1742"/>
    </row>
    <row r="25" spans="1:10" s="1744" customFormat="1" ht="24" customHeight="1">
      <c r="A25" s="1764" t="s">
        <v>995</v>
      </c>
      <c r="B25" s="1739">
        <v>18762</v>
      </c>
      <c r="C25" s="1740">
        <f>B25*93/100</f>
        <v>17448.66</v>
      </c>
      <c r="D25" s="1741">
        <f>B25*91/100</f>
        <v>17073.42</v>
      </c>
      <c r="E25" s="1768">
        <v>15222</v>
      </c>
      <c r="F25" s="1745" t="s">
        <v>996</v>
      </c>
      <c r="G25" s="1746"/>
      <c r="H25" s="1734">
        <v>43778</v>
      </c>
      <c r="I25" s="1738">
        <f>H25*98/100</f>
        <v>42902.44</v>
      </c>
      <c r="J25" s="1742"/>
    </row>
    <row r="26" spans="1:10" s="1744" customFormat="1" ht="24" customHeight="1">
      <c r="A26" s="1764" t="s">
        <v>997</v>
      </c>
      <c r="B26" s="1737"/>
      <c r="C26" s="1734">
        <v>18762</v>
      </c>
      <c r="D26" s="1738">
        <f>C26*98/100</f>
        <v>18386.76</v>
      </c>
      <c r="E26" s="1759">
        <v>16284</v>
      </c>
      <c r="F26" s="1745" t="s">
        <v>1529</v>
      </c>
      <c r="G26" s="1739">
        <v>50032</v>
      </c>
      <c r="H26" s="1740">
        <f>G26*93/100</f>
        <v>46529.76</v>
      </c>
      <c r="I26" s="1741">
        <f>G26*91/100</f>
        <v>45529.12</v>
      </c>
      <c r="J26" s="1742"/>
    </row>
    <row r="27" spans="1:10" s="1744" customFormat="1" ht="24" customHeight="1" thickBot="1">
      <c r="A27" s="1764" t="s">
        <v>998</v>
      </c>
      <c r="B27" s="1739">
        <v>19647</v>
      </c>
      <c r="C27" s="1740">
        <f>B27*93/100</f>
        <v>18271.71</v>
      </c>
      <c r="D27" s="1741">
        <f>B27*91/100</f>
        <v>17878.77</v>
      </c>
      <c r="E27" s="1759">
        <v>13098</v>
      </c>
      <c r="F27" s="1751" t="s">
        <v>999</v>
      </c>
      <c r="G27" s="1752"/>
      <c r="H27" s="1753">
        <v>50032</v>
      </c>
      <c r="I27" s="1754">
        <f>H27*98/100</f>
        <v>49031.36</v>
      </c>
      <c r="J27" s="1742"/>
    </row>
    <row r="28" spans="1:10" s="1744" customFormat="1" ht="24" customHeight="1">
      <c r="A28" s="1764" t="s">
        <v>1000</v>
      </c>
      <c r="B28" s="1737"/>
      <c r="C28" s="1734">
        <v>19647</v>
      </c>
      <c r="D28" s="1738">
        <f>C28*98/100</f>
        <v>19254.06</v>
      </c>
      <c r="E28" s="1759">
        <v>13511</v>
      </c>
      <c r="F28" s="1760" t="s">
        <v>1530</v>
      </c>
      <c r="G28" s="1727">
        <v>28615</v>
      </c>
      <c r="H28" s="1728">
        <f>G28*93/100</f>
        <v>26611.95</v>
      </c>
      <c r="I28" s="1729">
        <f>G28*91/100</f>
        <v>26039.65</v>
      </c>
      <c r="J28" s="1742"/>
    </row>
    <row r="29" spans="1:10" s="1744" customFormat="1" ht="24" customHeight="1">
      <c r="A29" s="1764" t="s">
        <v>1001</v>
      </c>
      <c r="B29" s="1739">
        <v>20178</v>
      </c>
      <c r="C29" s="1740">
        <f>B29*93/100</f>
        <v>18765.54</v>
      </c>
      <c r="D29" s="1741">
        <f>B29*91/100</f>
        <v>18361.98</v>
      </c>
      <c r="E29" s="1759">
        <v>14986</v>
      </c>
      <c r="F29" s="1745" t="s">
        <v>1002</v>
      </c>
      <c r="G29" s="1746"/>
      <c r="H29" s="1734">
        <v>28615</v>
      </c>
      <c r="I29" s="1738">
        <f>H29*98/100</f>
        <v>28042.7</v>
      </c>
      <c r="J29" s="1742"/>
    </row>
    <row r="30" spans="1:10" s="1744" customFormat="1" ht="24" customHeight="1">
      <c r="A30" s="1764" t="s">
        <v>1003</v>
      </c>
      <c r="B30" s="1737"/>
      <c r="C30" s="1734">
        <v>20178</v>
      </c>
      <c r="D30" s="1738">
        <f>C30*98/100</f>
        <v>19774.44</v>
      </c>
      <c r="E30" s="1759">
        <v>16874</v>
      </c>
      <c r="F30" s="1745" t="s">
        <v>1204</v>
      </c>
      <c r="G30" s="1769"/>
      <c r="H30" s="1770">
        <v>30503</v>
      </c>
      <c r="I30" s="1771">
        <f>H30*98/100</f>
        <v>29892.94</v>
      </c>
      <c r="J30" s="1742"/>
    </row>
    <row r="31" spans="1:10" s="1744" customFormat="1" ht="24" customHeight="1">
      <c r="A31" s="1764" t="s">
        <v>1004</v>
      </c>
      <c r="B31" s="1739">
        <v>21299</v>
      </c>
      <c r="C31" s="1740">
        <f>B31*93/100</f>
        <v>19808.07</v>
      </c>
      <c r="D31" s="1741">
        <f>B31*91/100</f>
        <v>19382.09</v>
      </c>
      <c r="E31" s="1759">
        <v>19706</v>
      </c>
      <c r="F31" s="1745" t="s">
        <v>1005</v>
      </c>
      <c r="G31" s="1739">
        <v>30857</v>
      </c>
      <c r="H31" s="1740">
        <f>G31*93/100</f>
        <v>28697.01</v>
      </c>
      <c r="I31" s="1741">
        <f>G31*91/100</f>
        <v>28079.87</v>
      </c>
      <c r="J31" s="1742"/>
    </row>
    <row r="32" spans="1:10" s="1744" customFormat="1" ht="24" customHeight="1">
      <c r="A32" s="1764" t="s">
        <v>1006</v>
      </c>
      <c r="B32" s="1737"/>
      <c r="C32" s="1734">
        <v>21299</v>
      </c>
      <c r="D32" s="1738">
        <f>C32*98/100</f>
        <v>20873.02</v>
      </c>
      <c r="E32" s="1759">
        <v>20591</v>
      </c>
      <c r="F32" s="1736" t="s">
        <v>1007</v>
      </c>
      <c r="G32" s="1737"/>
      <c r="H32" s="1734">
        <v>30857</v>
      </c>
      <c r="I32" s="1738">
        <f>H32*98/100</f>
        <v>30239.86</v>
      </c>
      <c r="J32" s="1742"/>
    </row>
    <row r="33" spans="1:10" s="1744" customFormat="1" ht="24" customHeight="1" thickBot="1">
      <c r="A33" s="1764" t="s">
        <v>1008</v>
      </c>
      <c r="B33" s="1739">
        <v>22774</v>
      </c>
      <c r="C33" s="1740">
        <f>B33*93/100</f>
        <v>21179.82</v>
      </c>
      <c r="D33" s="1741">
        <f>B33*91/100</f>
        <v>20724.34</v>
      </c>
      <c r="E33" s="1759">
        <v>22243</v>
      </c>
      <c r="F33" s="1772" t="s">
        <v>1205</v>
      </c>
      <c r="G33" s="1773"/>
      <c r="H33" s="1774">
        <v>33040</v>
      </c>
      <c r="I33" s="1775">
        <f>H33*98/100</f>
        <v>32379.2</v>
      </c>
      <c r="J33" s="1742"/>
    </row>
    <row r="34" spans="1:10" s="1744" customFormat="1" ht="24" customHeight="1" thickBot="1">
      <c r="A34" s="1765" t="s">
        <v>1009</v>
      </c>
      <c r="B34" s="1766"/>
      <c r="C34" s="1753">
        <v>22774</v>
      </c>
      <c r="D34" s="1754">
        <f>C34*98/100</f>
        <v>22318.52</v>
      </c>
      <c r="E34" s="1759">
        <v>17110</v>
      </c>
      <c r="F34" s="1726" t="s">
        <v>1532</v>
      </c>
      <c r="G34" s="1767">
        <v>31152</v>
      </c>
      <c r="H34" s="1776">
        <f>G34*93/100</f>
        <v>28971.36</v>
      </c>
      <c r="I34" s="1729">
        <f>G34*91/100</f>
        <v>28348.32</v>
      </c>
      <c r="J34" s="1742"/>
    </row>
    <row r="35" spans="1:10" s="1744" customFormat="1" ht="24" customHeight="1">
      <c r="A35" s="1763" t="s">
        <v>1010</v>
      </c>
      <c r="B35" s="1727">
        <v>18349</v>
      </c>
      <c r="C35" s="1728">
        <f>B35*93/100</f>
        <v>17064.57</v>
      </c>
      <c r="D35" s="1729">
        <f>B35*91/100</f>
        <v>16697.59</v>
      </c>
      <c r="E35" s="1759">
        <v>18939</v>
      </c>
      <c r="F35" s="1736" t="s">
        <v>1011</v>
      </c>
      <c r="G35" s="1737"/>
      <c r="H35" s="1777">
        <v>31152</v>
      </c>
      <c r="I35" s="1738">
        <f>H35*98/100</f>
        <v>30528.96</v>
      </c>
      <c r="J35" s="1742"/>
    </row>
    <row r="36" spans="1:10" s="1744" customFormat="1" ht="24" customHeight="1">
      <c r="A36" s="1764" t="s">
        <v>1012</v>
      </c>
      <c r="B36" s="1737"/>
      <c r="C36" s="1734">
        <v>18349</v>
      </c>
      <c r="D36" s="1738">
        <f>C36*98/100</f>
        <v>17982.02</v>
      </c>
      <c r="E36" s="1759">
        <v>19942</v>
      </c>
      <c r="F36" s="1736" t="s">
        <v>1206</v>
      </c>
      <c r="G36" s="1778"/>
      <c r="H36" s="1779">
        <v>33394</v>
      </c>
      <c r="I36" s="1771">
        <f>H36*98/100</f>
        <v>32726.12</v>
      </c>
      <c r="J36" s="1742"/>
    </row>
    <row r="37" spans="1:10" s="1744" customFormat="1" ht="24" customHeight="1">
      <c r="A37" s="1764" t="s">
        <v>1013</v>
      </c>
      <c r="B37" s="1739">
        <v>18880</v>
      </c>
      <c r="C37" s="1740">
        <f>B37*93/100</f>
        <v>17558.4</v>
      </c>
      <c r="D37" s="1741">
        <f>B37*91/100</f>
        <v>17180.8</v>
      </c>
      <c r="E37" s="1759">
        <v>21122</v>
      </c>
      <c r="F37" s="1736" t="s">
        <v>1533</v>
      </c>
      <c r="G37" s="1737">
        <v>36167</v>
      </c>
      <c r="H37" s="1780">
        <f>G37*93/100</f>
        <v>33635.31</v>
      </c>
      <c r="I37" s="1741">
        <f>G37*91/100</f>
        <v>32911.97</v>
      </c>
      <c r="J37" s="1742"/>
    </row>
    <row r="38" spans="1:10" s="1744" customFormat="1" ht="24" customHeight="1">
      <c r="A38" s="1764" t="s">
        <v>1014</v>
      </c>
      <c r="B38" s="1737"/>
      <c r="C38" s="1734">
        <v>18880</v>
      </c>
      <c r="D38" s="1738">
        <f>C38*98/100</f>
        <v>18502.4</v>
      </c>
      <c r="E38" s="1759">
        <v>22243</v>
      </c>
      <c r="F38" s="1736" t="s">
        <v>1015</v>
      </c>
      <c r="G38" s="1737"/>
      <c r="H38" s="1777">
        <v>36167</v>
      </c>
      <c r="I38" s="1738">
        <f>H38*98/100</f>
        <v>35443.66</v>
      </c>
      <c r="J38" s="1742"/>
    </row>
    <row r="39" spans="1:10" s="1744" customFormat="1" ht="24" customHeight="1">
      <c r="A39" s="1764" t="s">
        <v>1016</v>
      </c>
      <c r="B39" s="1739">
        <v>20886</v>
      </c>
      <c r="C39" s="1740">
        <f>B39*93/100</f>
        <v>19423.98</v>
      </c>
      <c r="D39" s="1741">
        <f>B39*91/100</f>
        <v>19006.26</v>
      </c>
      <c r="E39" s="1781">
        <v>27494</v>
      </c>
      <c r="F39" s="1736" t="s">
        <v>1207</v>
      </c>
      <c r="G39" s="1778"/>
      <c r="H39" s="1779">
        <v>38527</v>
      </c>
      <c r="I39" s="1771">
        <f>H39*98/100</f>
        <v>37756.46</v>
      </c>
      <c r="J39" s="1742"/>
    </row>
    <row r="40" spans="1:10" s="1744" customFormat="1" ht="24" customHeight="1">
      <c r="A40" s="1764" t="s">
        <v>1017</v>
      </c>
      <c r="B40" s="1737"/>
      <c r="C40" s="1734">
        <v>20886</v>
      </c>
      <c r="D40" s="1738">
        <f>C40*98/100</f>
        <v>20468.28</v>
      </c>
      <c r="E40" s="1781">
        <v>21004</v>
      </c>
      <c r="F40" s="1736" t="s">
        <v>1534</v>
      </c>
      <c r="G40" s="1737">
        <v>56109</v>
      </c>
      <c r="H40" s="1780">
        <f>G40*93/100</f>
        <v>52181.37</v>
      </c>
      <c r="I40" s="1741">
        <f>G40*91/100</f>
        <v>51059.19</v>
      </c>
      <c r="J40" s="1742"/>
    </row>
    <row r="41" spans="1:10" s="1744" customFormat="1" ht="24" customHeight="1">
      <c r="A41" s="1764" t="s">
        <v>1018</v>
      </c>
      <c r="B41" s="1739">
        <v>23600</v>
      </c>
      <c r="C41" s="1740">
        <f>B41*93/100</f>
        <v>21948</v>
      </c>
      <c r="D41" s="1741">
        <f>B41*91/100</f>
        <v>21476</v>
      </c>
      <c r="E41" s="1759">
        <v>21358</v>
      </c>
      <c r="F41" s="1736" t="s">
        <v>1019</v>
      </c>
      <c r="G41" s="1737"/>
      <c r="H41" s="1777">
        <v>56109</v>
      </c>
      <c r="I41" s="1738">
        <f>H41*98/100</f>
        <v>54986.82</v>
      </c>
      <c r="J41" s="1742"/>
    </row>
    <row r="42" spans="1:10" s="1744" customFormat="1" ht="24" customHeight="1">
      <c r="A42" s="1764" t="s">
        <v>1020</v>
      </c>
      <c r="B42" s="1737"/>
      <c r="C42" s="1734">
        <v>23600</v>
      </c>
      <c r="D42" s="1738">
        <f>C42*98/100</f>
        <v>23128</v>
      </c>
      <c r="E42" s="1759">
        <v>21417</v>
      </c>
      <c r="F42" s="1736" t="s">
        <v>1208</v>
      </c>
      <c r="G42" s="1778"/>
      <c r="H42" s="1779">
        <v>59767</v>
      </c>
      <c r="I42" s="1771">
        <f>H42*98/100</f>
        <v>58571.66</v>
      </c>
      <c r="J42" s="1742"/>
    </row>
    <row r="43" spans="1:10" s="1744" customFormat="1" ht="24" customHeight="1">
      <c r="A43" s="1764" t="s">
        <v>1021</v>
      </c>
      <c r="B43" s="1739">
        <v>27494</v>
      </c>
      <c r="C43" s="1740">
        <f>B43*93/100</f>
        <v>25569.42</v>
      </c>
      <c r="D43" s="1741">
        <f>B43*91/100</f>
        <v>25019.54</v>
      </c>
      <c r="E43" s="1781">
        <v>22420</v>
      </c>
      <c r="F43" s="1736" t="s">
        <v>1535</v>
      </c>
      <c r="G43" s="1737">
        <v>66788</v>
      </c>
      <c r="H43" s="1780">
        <f>G43*93/100</f>
        <v>62112.84</v>
      </c>
      <c r="I43" s="1741">
        <f>G43*91/100</f>
        <v>60777.08</v>
      </c>
      <c r="J43" s="1742"/>
    </row>
    <row r="44" spans="1:10" s="1744" customFormat="1" ht="24" customHeight="1">
      <c r="A44" s="1764" t="s">
        <v>1022</v>
      </c>
      <c r="B44" s="1737"/>
      <c r="C44" s="1734">
        <v>27494</v>
      </c>
      <c r="D44" s="1738">
        <f>C44*98/100</f>
        <v>26944.12</v>
      </c>
      <c r="E44" s="1781">
        <v>30857</v>
      </c>
      <c r="F44" s="1745" t="s">
        <v>1023</v>
      </c>
      <c r="G44" s="1746"/>
      <c r="H44" s="1777">
        <v>66788</v>
      </c>
      <c r="I44" s="1738">
        <f>H44*98/100</f>
        <v>65452.24</v>
      </c>
      <c r="J44" s="1742"/>
    </row>
    <row r="45" spans="1:10" s="1744" customFormat="1" ht="24" customHeight="1" thickBot="1">
      <c r="A45" s="1764" t="s">
        <v>1024</v>
      </c>
      <c r="B45" s="1739">
        <v>28615</v>
      </c>
      <c r="C45" s="1740">
        <f>B45*93/100</f>
        <v>26611.95</v>
      </c>
      <c r="D45" s="1741">
        <f>B45*91/100</f>
        <v>26039.65</v>
      </c>
      <c r="E45" s="1759">
        <v>35341</v>
      </c>
      <c r="F45" s="1772" t="s">
        <v>1209</v>
      </c>
      <c r="G45" s="1773"/>
      <c r="H45" s="1774">
        <v>70977</v>
      </c>
      <c r="I45" s="1775">
        <f>H45*98/100</f>
        <v>69557.46</v>
      </c>
      <c r="J45" s="1742"/>
    </row>
    <row r="46" spans="1:10" s="1744" customFormat="1" ht="24" customHeight="1">
      <c r="A46" s="1764" t="s">
        <v>1025</v>
      </c>
      <c r="B46" s="1737"/>
      <c r="C46" s="1734">
        <v>28615</v>
      </c>
      <c r="D46" s="1738">
        <f>C46*98/100</f>
        <v>28042.7</v>
      </c>
      <c r="E46" s="1759">
        <v>20591</v>
      </c>
      <c r="F46" s="1760" t="s">
        <v>1536</v>
      </c>
      <c r="G46" s="1761">
        <v>33217</v>
      </c>
      <c r="H46" s="1776">
        <f>G46*93/100</f>
        <v>30891.81</v>
      </c>
      <c r="I46" s="1729">
        <f>G46*91/100</f>
        <v>30227.47</v>
      </c>
      <c r="J46" s="1742"/>
    </row>
    <row r="47" spans="1:10" s="1744" customFormat="1" ht="24" customHeight="1">
      <c r="A47" s="1764" t="s">
        <v>1026</v>
      </c>
      <c r="B47" s="1739">
        <v>31034</v>
      </c>
      <c r="C47" s="1740">
        <f>B47*93/100</f>
        <v>28861.62</v>
      </c>
      <c r="D47" s="1741">
        <f>B47*91/100</f>
        <v>28240.94</v>
      </c>
      <c r="E47" s="1759">
        <v>22066</v>
      </c>
      <c r="F47" s="1736" t="s">
        <v>1027</v>
      </c>
      <c r="G47" s="1737"/>
      <c r="H47" s="1777">
        <v>36344</v>
      </c>
      <c r="I47" s="1738">
        <f>H47*98/100</f>
        <v>35617.12</v>
      </c>
      <c r="J47" s="1742"/>
    </row>
    <row r="48" spans="1:10" s="1744" customFormat="1" ht="24" customHeight="1" thickBot="1">
      <c r="A48" s="1765" t="s">
        <v>1028</v>
      </c>
      <c r="B48" s="1766"/>
      <c r="C48" s="1753">
        <v>31034</v>
      </c>
      <c r="D48" s="1754">
        <f>C48*98/100</f>
        <v>30413.32</v>
      </c>
      <c r="E48" s="1759">
        <v>22302</v>
      </c>
      <c r="F48" s="1736" t="s">
        <v>1210</v>
      </c>
      <c r="G48" s="1778"/>
      <c r="H48" s="1779">
        <v>38409</v>
      </c>
      <c r="I48" s="1771">
        <f>H48*98/100</f>
        <v>37640.82</v>
      </c>
      <c r="J48" s="1742"/>
    </row>
    <row r="49" spans="1:10" ht="24" customHeight="1">
      <c r="A49" s="1763" t="s">
        <v>1029</v>
      </c>
      <c r="B49" s="1727">
        <v>23836</v>
      </c>
      <c r="C49" s="1728">
        <f>B49*93/100</f>
        <v>22167.48</v>
      </c>
      <c r="D49" s="1729">
        <f>B49*91/100</f>
        <v>21690.76</v>
      </c>
      <c r="E49" s="1759">
        <v>26019</v>
      </c>
      <c r="F49" s="1736" t="s">
        <v>1030</v>
      </c>
      <c r="G49" s="1737">
        <v>36344</v>
      </c>
      <c r="H49" s="1780">
        <f>G49*93/100</f>
        <v>33799.92</v>
      </c>
      <c r="I49" s="1741">
        <f>G49*91/100</f>
        <v>33073.04</v>
      </c>
      <c r="J49" s="1742"/>
    </row>
    <row r="50" spans="1:10" ht="24" customHeight="1" thickBot="1">
      <c r="A50" s="1765" t="s">
        <v>1031</v>
      </c>
      <c r="B50" s="1782"/>
      <c r="C50" s="1753">
        <v>23836</v>
      </c>
      <c r="D50" s="1754">
        <f>C50*98/100</f>
        <v>23359.28</v>
      </c>
      <c r="E50" s="1783">
        <v>26019</v>
      </c>
      <c r="F50" s="1772" t="s">
        <v>1538</v>
      </c>
      <c r="G50" s="1766">
        <v>38881</v>
      </c>
      <c r="H50" s="1784">
        <f>G50*93/100</f>
        <v>36159.33</v>
      </c>
      <c r="I50" s="1785">
        <f>G50*91/100</f>
        <v>35381.71</v>
      </c>
      <c r="J50" s="1742"/>
    </row>
    <row r="51" spans="1:10" ht="24" customHeight="1">
      <c r="A51" s="2155" t="s">
        <v>114</v>
      </c>
      <c r="B51" s="2155"/>
      <c r="C51" s="2155"/>
      <c r="D51" s="2155"/>
      <c r="E51" s="2155"/>
      <c r="F51" s="2155"/>
      <c r="G51" s="2155"/>
      <c r="H51" s="2155"/>
      <c r="I51" s="2155"/>
      <c r="J51" s="1786"/>
    </row>
    <row r="52" spans="1:9" ht="24" customHeight="1">
      <c r="A52" s="2155" t="s">
        <v>336</v>
      </c>
      <c r="B52" s="2155"/>
      <c r="C52" s="2155"/>
      <c r="D52" s="2155"/>
      <c r="E52" s="2155"/>
      <c r="F52" s="2155"/>
      <c r="G52" s="2155"/>
      <c r="H52" s="2155"/>
      <c r="I52" s="2155"/>
    </row>
    <row r="53" spans="1:9" ht="24" customHeight="1" thickBot="1">
      <c r="A53" s="1787" t="s">
        <v>1032</v>
      </c>
      <c r="B53" s="1706"/>
      <c r="C53" s="1706"/>
      <c r="D53" s="1706"/>
      <c r="E53" s="1706"/>
      <c r="F53" s="1707"/>
      <c r="G53" s="1706"/>
      <c r="H53" s="1706"/>
      <c r="I53" s="1707" t="s">
        <v>963</v>
      </c>
    </row>
    <row r="54" spans="1:9" ht="24" customHeight="1">
      <c r="A54" s="1763" t="s">
        <v>1033</v>
      </c>
      <c r="B54" s="1767"/>
      <c r="C54" s="1788">
        <v>38881</v>
      </c>
      <c r="D54" s="1762">
        <f>C54*98/100</f>
        <v>38103.38</v>
      </c>
      <c r="E54" s="1789"/>
      <c r="F54" s="1726" t="s">
        <v>1034</v>
      </c>
      <c r="G54" s="1767">
        <v>74163</v>
      </c>
      <c r="H54" s="1776">
        <f>G54*93/100</f>
        <v>68971.59</v>
      </c>
      <c r="I54" s="1729">
        <f>G54*91/100</f>
        <v>67488.33</v>
      </c>
    </row>
    <row r="55" spans="1:9" ht="24" customHeight="1">
      <c r="A55" s="1764" t="s">
        <v>1211</v>
      </c>
      <c r="B55" s="1778"/>
      <c r="C55" s="1779">
        <v>41123</v>
      </c>
      <c r="D55" s="1771">
        <f>C55*98/100</f>
        <v>40300.54</v>
      </c>
      <c r="E55" s="1790"/>
      <c r="F55" s="1736" t="s">
        <v>1212</v>
      </c>
      <c r="G55" s="1778"/>
      <c r="H55" s="1779">
        <v>74163</v>
      </c>
      <c r="I55" s="1771">
        <f>H55*98/100</f>
        <v>72679.74</v>
      </c>
    </row>
    <row r="56" spans="1:9" ht="24" customHeight="1">
      <c r="A56" s="1764" t="s">
        <v>1540</v>
      </c>
      <c r="B56" s="1737">
        <v>51743</v>
      </c>
      <c r="C56" s="1780">
        <f>B56*93/100</f>
        <v>48120.99</v>
      </c>
      <c r="D56" s="1741">
        <f>B56*91/100</f>
        <v>47086.13</v>
      </c>
      <c r="E56" s="1791"/>
      <c r="F56" s="1736" t="s">
        <v>1035</v>
      </c>
      <c r="G56" s="1737">
        <v>107203</v>
      </c>
      <c r="H56" s="1780">
        <f>G56*93/100</f>
        <v>99698.79</v>
      </c>
      <c r="I56" s="1741">
        <f>G56*91/100</f>
        <v>97554.73</v>
      </c>
    </row>
    <row r="57" spans="1:9" ht="24" customHeight="1">
      <c r="A57" s="1764" t="s">
        <v>1036</v>
      </c>
      <c r="B57" s="1737"/>
      <c r="C57" s="1777">
        <v>51743</v>
      </c>
      <c r="D57" s="1738">
        <f>C57*98/100</f>
        <v>50708.14</v>
      </c>
      <c r="E57" s="1791"/>
      <c r="F57" s="1736" t="s">
        <v>1213</v>
      </c>
      <c r="G57" s="1778"/>
      <c r="H57" s="1779">
        <v>107203</v>
      </c>
      <c r="I57" s="1771">
        <f>H57*98/100</f>
        <v>105058.94</v>
      </c>
    </row>
    <row r="58" spans="1:9" ht="24" customHeight="1">
      <c r="A58" s="1764" t="s">
        <v>1214</v>
      </c>
      <c r="B58" s="1778"/>
      <c r="C58" s="1779">
        <v>54634</v>
      </c>
      <c r="D58" s="1771">
        <f>C58*98/100</f>
        <v>53541.32</v>
      </c>
      <c r="E58" s="1789"/>
      <c r="F58" s="1736" t="s">
        <v>1037</v>
      </c>
      <c r="G58" s="1737">
        <v>153754</v>
      </c>
      <c r="H58" s="1780">
        <f>G58*93/100</f>
        <v>142991.22</v>
      </c>
      <c r="I58" s="1741">
        <f>G58*91/100</f>
        <v>139916.14</v>
      </c>
    </row>
    <row r="59" spans="1:9" ht="24" customHeight="1" thickBot="1">
      <c r="A59" s="1764" t="s">
        <v>1542</v>
      </c>
      <c r="B59" s="1737">
        <v>54575</v>
      </c>
      <c r="C59" s="1780">
        <f>B59*93/100</f>
        <v>50754.75</v>
      </c>
      <c r="D59" s="1741">
        <f>B59*91/100</f>
        <v>49663.25</v>
      </c>
      <c r="E59" s="1789"/>
      <c r="F59" s="1772" t="s">
        <v>1215</v>
      </c>
      <c r="G59" s="1766"/>
      <c r="H59" s="1774">
        <v>153754</v>
      </c>
      <c r="I59" s="1775">
        <f aca="true" t="shared" si="1" ref="I59:I78">H59*98/100</f>
        <v>150678.92</v>
      </c>
    </row>
    <row r="60" spans="1:9" ht="24" customHeight="1">
      <c r="A60" s="1764" t="s">
        <v>1038</v>
      </c>
      <c r="B60" s="1737"/>
      <c r="C60" s="1777">
        <v>54575</v>
      </c>
      <c r="D60" s="1738">
        <f>C60*98/100</f>
        <v>53483.5</v>
      </c>
      <c r="E60" s="1789"/>
      <c r="F60" s="1726" t="s">
        <v>2065</v>
      </c>
      <c r="G60" s="1792"/>
      <c r="H60" s="1788">
        <v>73927</v>
      </c>
      <c r="I60" s="1762">
        <f t="shared" si="1"/>
        <v>72448.46</v>
      </c>
    </row>
    <row r="61" spans="1:9" ht="24" customHeight="1">
      <c r="A61" s="1764" t="s">
        <v>1216</v>
      </c>
      <c r="B61" s="1778"/>
      <c r="C61" s="1779">
        <v>57466</v>
      </c>
      <c r="D61" s="1771">
        <f>C61*98/100</f>
        <v>56316.68</v>
      </c>
      <c r="E61" s="1789"/>
      <c r="F61" s="1736" t="s">
        <v>1849</v>
      </c>
      <c r="G61" s="1793"/>
      <c r="H61" s="1777">
        <v>92040</v>
      </c>
      <c r="I61" s="1738">
        <f t="shared" si="1"/>
        <v>90199.2</v>
      </c>
    </row>
    <row r="62" spans="1:9" ht="24" customHeight="1">
      <c r="A62" s="1764" t="s">
        <v>1544</v>
      </c>
      <c r="B62" s="1737">
        <v>65726</v>
      </c>
      <c r="C62" s="1780">
        <f>B62*93/100</f>
        <v>61125.18</v>
      </c>
      <c r="D62" s="1741">
        <f>B62*91/100</f>
        <v>59810.66</v>
      </c>
      <c r="E62" s="1789"/>
      <c r="F62" s="1736" t="s">
        <v>1850</v>
      </c>
      <c r="G62" s="1793"/>
      <c r="H62" s="1777">
        <v>95580</v>
      </c>
      <c r="I62" s="1738">
        <f t="shared" si="1"/>
        <v>93668.4</v>
      </c>
    </row>
    <row r="63" spans="1:9" ht="24" customHeight="1" thickBot="1">
      <c r="A63" s="1764" t="s">
        <v>1039</v>
      </c>
      <c r="B63" s="1737"/>
      <c r="C63" s="1777">
        <v>65726</v>
      </c>
      <c r="D63" s="1738">
        <f>C63*98/100</f>
        <v>64411.48</v>
      </c>
      <c r="E63" s="1789"/>
      <c r="F63" s="1736" t="s">
        <v>1040</v>
      </c>
      <c r="G63" s="1793"/>
      <c r="H63" s="1777">
        <v>107498</v>
      </c>
      <c r="I63" s="1738">
        <f t="shared" si="1"/>
        <v>105348.04</v>
      </c>
    </row>
    <row r="64" spans="1:9" ht="24" customHeight="1">
      <c r="A64" s="1764" t="s">
        <v>1217</v>
      </c>
      <c r="B64" s="1737"/>
      <c r="C64" s="1779">
        <v>69856</v>
      </c>
      <c r="D64" s="1771">
        <f>C64*98/100</f>
        <v>68458.88</v>
      </c>
      <c r="E64" s="1789"/>
      <c r="F64" s="1726" t="s">
        <v>779</v>
      </c>
      <c r="G64" s="1792"/>
      <c r="H64" s="1788">
        <v>74635</v>
      </c>
      <c r="I64" s="1762">
        <f t="shared" si="1"/>
        <v>73142.3</v>
      </c>
    </row>
    <row r="65" spans="1:9" ht="24" customHeight="1">
      <c r="A65" s="1764" t="s">
        <v>1041</v>
      </c>
      <c r="B65" s="1737">
        <v>95698</v>
      </c>
      <c r="C65" s="1780">
        <f>B65*93/100</f>
        <v>88999.14</v>
      </c>
      <c r="D65" s="1741">
        <f>B65*91/100</f>
        <v>87085.18</v>
      </c>
      <c r="E65" s="1789"/>
      <c r="F65" s="1736" t="s">
        <v>780</v>
      </c>
      <c r="G65" s="1793"/>
      <c r="H65" s="1777">
        <v>78706</v>
      </c>
      <c r="I65" s="1738">
        <f t="shared" si="1"/>
        <v>77131.88</v>
      </c>
    </row>
    <row r="66" spans="1:9" ht="24" customHeight="1" thickBot="1">
      <c r="A66" s="1765" t="s">
        <v>1218</v>
      </c>
      <c r="B66" s="1773"/>
      <c r="C66" s="1774">
        <v>101539</v>
      </c>
      <c r="D66" s="1775">
        <f>C66*98/100</f>
        <v>99508.22</v>
      </c>
      <c r="E66" s="1789"/>
      <c r="F66" s="1751" t="s">
        <v>265</v>
      </c>
      <c r="G66" s="1794"/>
      <c r="H66" s="1795">
        <v>106672</v>
      </c>
      <c r="I66" s="1754">
        <f t="shared" si="1"/>
        <v>104538.56</v>
      </c>
    </row>
    <row r="67" spans="1:9" ht="24" customHeight="1">
      <c r="A67" s="1763" t="s">
        <v>1547</v>
      </c>
      <c r="B67" s="1767">
        <v>69797</v>
      </c>
      <c r="C67" s="1776">
        <f>B67*93/100</f>
        <v>64911.21</v>
      </c>
      <c r="D67" s="1729">
        <f>B67*91/100</f>
        <v>63515.27</v>
      </c>
      <c r="E67" s="1789"/>
      <c r="F67" s="1726" t="s">
        <v>781</v>
      </c>
      <c r="G67" s="1792"/>
      <c r="H67" s="1788">
        <v>82777</v>
      </c>
      <c r="I67" s="1762">
        <f t="shared" si="1"/>
        <v>81121.46</v>
      </c>
    </row>
    <row r="68" spans="1:9" ht="24" customHeight="1">
      <c r="A68" s="1796" t="s">
        <v>1042</v>
      </c>
      <c r="B68" s="1797"/>
      <c r="C68" s="1777">
        <v>69797</v>
      </c>
      <c r="D68" s="1738">
        <f>C68*98/100</f>
        <v>68401.06</v>
      </c>
      <c r="E68" s="1789"/>
      <c r="F68" s="1736" t="s">
        <v>782</v>
      </c>
      <c r="G68" s="1793"/>
      <c r="H68" s="1777">
        <v>113339</v>
      </c>
      <c r="I68" s="1738">
        <f t="shared" si="1"/>
        <v>111072.22</v>
      </c>
    </row>
    <row r="69" spans="1:9" ht="24" customHeight="1" thickBot="1">
      <c r="A69" s="1796" t="s">
        <v>1043</v>
      </c>
      <c r="B69" s="1797">
        <v>74753</v>
      </c>
      <c r="C69" s="1780">
        <f>B69*93/100</f>
        <v>69520.29</v>
      </c>
      <c r="D69" s="1741">
        <f>B69*91/100</f>
        <v>68025.23</v>
      </c>
      <c r="E69" s="1789"/>
      <c r="F69" s="1772" t="s">
        <v>783</v>
      </c>
      <c r="G69" s="1782"/>
      <c r="H69" s="1795">
        <v>151571</v>
      </c>
      <c r="I69" s="1754">
        <f t="shared" si="1"/>
        <v>148539.58</v>
      </c>
    </row>
    <row r="70" spans="1:9" ht="24" customHeight="1">
      <c r="A70" s="1764" t="s">
        <v>1044</v>
      </c>
      <c r="B70" s="1737"/>
      <c r="C70" s="1777">
        <v>74753</v>
      </c>
      <c r="D70" s="1738">
        <f>C70*98/100</f>
        <v>73257.94</v>
      </c>
      <c r="E70" s="1789"/>
      <c r="F70" s="1798" t="s">
        <v>266</v>
      </c>
      <c r="G70" s="1799"/>
      <c r="H70" s="1800">
        <v>153695</v>
      </c>
      <c r="I70" s="1801">
        <f t="shared" si="1"/>
        <v>150621.1</v>
      </c>
    </row>
    <row r="71" spans="1:9" ht="24" customHeight="1">
      <c r="A71" s="1764" t="s">
        <v>1045</v>
      </c>
      <c r="B71" s="1737">
        <v>89503</v>
      </c>
      <c r="C71" s="1780">
        <f>B71*93/100</f>
        <v>83237.79</v>
      </c>
      <c r="D71" s="1741">
        <f>B71*91/100</f>
        <v>81447.73</v>
      </c>
      <c r="E71" s="1789"/>
      <c r="F71" s="1736" t="s">
        <v>128</v>
      </c>
      <c r="G71" s="1793"/>
      <c r="H71" s="1777">
        <v>208683</v>
      </c>
      <c r="I71" s="1738">
        <f t="shared" si="1"/>
        <v>204509.34</v>
      </c>
    </row>
    <row r="72" spans="1:9" ht="24" customHeight="1" thickBot="1">
      <c r="A72" s="1765" t="s">
        <v>1046</v>
      </c>
      <c r="B72" s="1766"/>
      <c r="C72" s="1795">
        <v>89503</v>
      </c>
      <c r="D72" s="1754">
        <f>C72*98/100</f>
        <v>87712.94</v>
      </c>
      <c r="E72" s="1789"/>
      <c r="F72" s="1802" t="s">
        <v>129</v>
      </c>
      <c r="G72" s="1803"/>
      <c r="H72" s="1804">
        <v>256709</v>
      </c>
      <c r="I72" s="1805">
        <f t="shared" si="1"/>
        <v>251574.82</v>
      </c>
    </row>
    <row r="73" spans="1:9" ht="24" customHeight="1">
      <c r="A73" s="1763" t="s">
        <v>1047</v>
      </c>
      <c r="B73" s="1767">
        <v>47495</v>
      </c>
      <c r="C73" s="1776">
        <f>B73*93/100</f>
        <v>44170.35</v>
      </c>
      <c r="D73" s="1729">
        <f>B73*91/100</f>
        <v>43220.45</v>
      </c>
      <c r="E73" s="1789"/>
      <c r="F73" s="1726" t="s">
        <v>2048</v>
      </c>
      <c r="G73" s="1792"/>
      <c r="H73" s="1788">
        <v>68086</v>
      </c>
      <c r="I73" s="1762">
        <f t="shared" si="1"/>
        <v>66724.28</v>
      </c>
    </row>
    <row r="74" spans="1:9" ht="24" customHeight="1" thickBot="1">
      <c r="A74" s="1764" t="s">
        <v>1219</v>
      </c>
      <c r="B74" s="1778"/>
      <c r="C74" s="1779">
        <v>47495</v>
      </c>
      <c r="D74" s="1771">
        <f>C74*98/100</f>
        <v>46545.1</v>
      </c>
      <c r="E74" s="1789"/>
      <c r="F74" s="1772" t="s">
        <v>2049</v>
      </c>
      <c r="G74" s="1782"/>
      <c r="H74" s="1795">
        <v>102011</v>
      </c>
      <c r="I74" s="1754">
        <f t="shared" si="1"/>
        <v>99970.78</v>
      </c>
    </row>
    <row r="75" spans="1:9" ht="24" customHeight="1">
      <c r="A75" s="1764" t="s">
        <v>1048</v>
      </c>
      <c r="B75" s="1737">
        <v>56050</v>
      </c>
      <c r="C75" s="1780">
        <f>B75*93/100</f>
        <v>52126.5</v>
      </c>
      <c r="D75" s="1741">
        <f>B75*91/100</f>
        <v>51005.5</v>
      </c>
      <c r="E75" s="1789"/>
      <c r="F75" s="1726" t="s">
        <v>500</v>
      </c>
      <c r="G75" s="1792"/>
      <c r="H75" s="1788">
        <v>102247</v>
      </c>
      <c r="I75" s="1762">
        <f t="shared" si="1"/>
        <v>100202.06</v>
      </c>
    </row>
    <row r="76" spans="1:9" ht="24" customHeight="1">
      <c r="A76" s="1764" t="s">
        <v>1220</v>
      </c>
      <c r="B76" s="1778"/>
      <c r="C76" s="1779">
        <v>56050</v>
      </c>
      <c r="D76" s="1738">
        <f>C76*98/100</f>
        <v>54929</v>
      </c>
      <c r="E76" s="1789"/>
      <c r="F76" s="1745" t="s">
        <v>501</v>
      </c>
      <c r="G76" s="1806"/>
      <c r="H76" s="1777">
        <v>182251</v>
      </c>
      <c r="I76" s="1738">
        <f t="shared" si="1"/>
        <v>178605.98</v>
      </c>
    </row>
    <row r="77" spans="1:9" ht="24" customHeight="1">
      <c r="A77" s="1764" t="s">
        <v>1049</v>
      </c>
      <c r="B77" s="1737">
        <v>68263</v>
      </c>
      <c r="C77" s="1780">
        <f>B77*93/100</f>
        <v>63484.59</v>
      </c>
      <c r="D77" s="1741">
        <f>B77*91/100</f>
        <v>62119.33</v>
      </c>
      <c r="E77" s="1789"/>
      <c r="F77" s="1745" t="s">
        <v>2061</v>
      </c>
      <c r="G77" s="1806"/>
      <c r="H77" s="1777">
        <v>266857</v>
      </c>
      <c r="I77" s="1738">
        <f t="shared" si="1"/>
        <v>261519.86</v>
      </c>
    </row>
    <row r="78" spans="1:9" ht="24" customHeight="1" thickBot="1">
      <c r="A78" s="1765" t="s">
        <v>1221</v>
      </c>
      <c r="B78" s="1773"/>
      <c r="C78" s="1774">
        <v>68263</v>
      </c>
      <c r="D78" s="1775">
        <f>C78*98/100</f>
        <v>66897.74</v>
      </c>
      <c r="E78" s="1789"/>
      <c r="F78" s="1751" t="s">
        <v>267</v>
      </c>
      <c r="G78" s="1794"/>
      <c r="H78" s="1795">
        <v>314883</v>
      </c>
      <c r="I78" s="1754">
        <f t="shared" si="1"/>
        <v>308585.34</v>
      </c>
    </row>
    <row r="79" spans="1:9" ht="54.75" customHeight="1">
      <c r="A79" s="2157" t="s">
        <v>1222</v>
      </c>
      <c r="B79" s="2157"/>
      <c r="C79" s="2157"/>
      <c r="D79" s="2157"/>
      <c r="E79" s="2157"/>
      <c r="F79" s="2157"/>
      <c r="G79" s="2157"/>
      <c r="H79" s="2157"/>
      <c r="I79" s="2157"/>
    </row>
    <row r="80" spans="1:9" ht="21" customHeight="1">
      <c r="A80" s="1807"/>
      <c r="B80" s="1807"/>
      <c r="C80" s="1807"/>
      <c r="D80" s="1807"/>
      <c r="E80" s="1808"/>
      <c r="F80" s="1807"/>
      <c r="G80" s="1809"/>
      <c r="H80" s="1807"/>
      <c r="I80" s="1807"/>
    </row>
    <row r="81" spans="1:9" ht="57" customHeight="1">
      <c r="A81" s="2158" t="s">
        <v>1050</v>
      </c>
      <c r="B81" s="2158"/>
      <c r="C81" s="2158"/>
      <c r="D81" s="2158"/>
      <c r="E81" s="2158"/>
      <c r="F81" s="2158"/>
      <c r="G81" s="2158"/>
      <c r="H81" s="2158"/>
      <c r="I81" s="2158"/>
    </row>
    <row r="82" spans="1:9" ht="30" customHeight="1" thickBot="1">
      <c r="A82" s="2167" t="s">
        <v>1051</v>
      </c>
      <c r="B82" s="2167"/>
      <c r="C82" s="2167"/>
      <c r="D82" s="2167"/>
      <c r="E82" s="1783"/>
      <c r="F82" s="1811" t="s">
        <v>1052</v>
      </c>
      <c r="G82" s="1812"/>
      <c r="H82" s="1759"/>
      <c r="I82" s="1813"/>
    </row>
    <row r="83" spans="1:9" ht="30" customHeight="1">
      <c r="A83" s="2159" t="s">
        <v>1053</v>
      </c>
      <c r="B83" s="2159"/>
      <c r="C83" s="2159"/>
      <c r="D83" s="2159"/>
      <c r="E83" s="1783"/>
      <c r="F83" s="1814" t="s">
        <v>1054</v>
      </c>
      <c r="G83" s="1815"/>
      <c r="H83" s="1816"/>
      <c r="I83" s="1817" t="s">
        <v>1055</v>
      </c>
    </row>
    <row r="84" spans="1:9" ht="30" customHeight="1" thickBot="1">
      <c r="A84" s="2160"/>
      <c r="B84" s="2160"/>
      <c r="C84" s="2160"/>
      <c r="D84" s="2160"/>
      <c r="E84" s="1783"/>
      <c r="F84" s="2161" t="s">
        <v>1056</v>
      </c>
      <c r="G84" s="2162"/>
      <c r="H84" s="2163"/>
      <c r="I84" s="1821" t="s">
        <v>1055</v>
      </c>
    </row>
    <row r="85" spans="1:9" ht="30" customHeight="1">
      <c r="A85" s="1822" t="s">
        <v>1057</v>
      </c>
      <c r="B85" s="1823"/>
      <c r="C85" s="1824"/>
      <c r="D85" s="1825">
        <v>9447</v>
      </c>
      <c r="E85" s="1783"/>
      <c r="F85" s="1818" t="s">
        <v>1058</v>
      </c>
      <c r="G85" s="1819"/>
      <c r="H85" s="1820"/>
      <c r="I85" s="1821" t="s">
        <v>1055</v>
      </c>
    </row>
    <row r="86" spans="1:9" ht="30" customHeight="1">
      <c r="A86" s="1826" t="s">
        <v>1059</v>
      </c>
      <c r="B86" s="1827"/>
      <c r="C86" s="1828"/>
      <c r="D86" s="1829">
        <v>9547</v>
      </c>
      <c r="E86" s="1783"/>
      <c r="F86" s="2164" t="s">
        <v>1060</v>
      </c>
      <c r="G86" s="2165"/>
      <c r="H86" s="2166"/>
      <c r="I86" s="2156">
        <v>2100</v>
      </c>
    </row>
    <row r="87" spans="1:9" ht="30" customHeight="1">
      <c r="A87" s="1826" t="s">
        <v>1061</v>
      </c>
      <c r="B87" s="1827"/>
      <c r="C87" s="1830"/>
      <c r="D87" s="1829">
        <v>14604</v>
      </c>
      <c r="E87" s="1783"/>
      <c r="F87" s="2164"/>
      <c r="G87" s="2165"/>
      <c r="H87" s="2166"/>
      <c r="I87" s="2156"/>
    </row>
    <row r="88" spans="1:9" ht="30" customHeight="1">
      <c r="A88" s="1826" t="s">
        <v>1062</v>
      </c>
      <c r="B88" s="1827"/>
      <c r="C88" s="1828"/>
      <c r="D88" s="1829">
        <v>20082</v>
      </c>
      <c r="E88" s="1783"/>
      <c r="F88" s="2169" t="s">
        <v>1063</v>
      </c>
      <c r="G88" s="2170"/>
      <c r="H88" s="2171"/>
      <c r="I88" s="2156">
        <v>1457</v>
      </c>
    </row>
    <row r="89" spans="1:9" ht="30" customHeight="1" thickBot="1">
      <c r="A89" s="1834" t="s">
        <v>1064</v>
      </c>
      <c r="B89" s="1835"/>
      <c r="C89" s="1836"/>
      <c r="D89" s="1837">
        <v>39125</v>
      </c>
      <c r="E89" s="1783"/>
      <c r="F89" s="2169"/>
      <c r="G89" s="2170"/>
      <c r="H89" s="2171"/>
      <c r="I89" s="2156"/>
    </row>
    <row r="90" spans="1:9" ht="30" customHeight="1">
      <c r="A90" s="1838" t="s">
        <v>1065</v>
      </c>
      <c r="B90" s="1839"/>
      <c r="C90" s="1840"/>
      <c r="D90" s="1841">
        <v>8889</v>
      </c>
      <c r="E90" s="1783"/>
      <c r="F90" s="2169" t="s">
        <v>1066</v>
      </c>
      <c r="G90" s="2170"/>
      <c r="H90" s="2171"/>
      <c r="I90" s="2156">
        <v>1534</v>
      </c>
    </row>
    <row r="91" spans="1:9" ht="30" customHeight="1">
      <c r="A91" s="1826" t="s">
        <v>1067</v>
      </c>
      <c r="B91" s="1827"/>
      <c r="C91" s="1842"/>
      <c r="D91" s="1843">
        <v>9021</v>
      </c>
      <c r="E91" s="1783"/>
      <c r="F91" s="2169"/>
      <c r="G91" s="2170"/>
      <c r="H91" s="2171"/>
      <c r="I91" s="2156"/>
    </row>
    <row r="92" spans="1:9" ht="30" customHeight="1">
      <c r="A92" s="1826" t="s">
        <v>1068</v>
      </c>
      <c r="B92" s="1827"/>
      <c r="C92" s="1842"/>
      <c r="D92" s="1843">
        <v>9218</v>
      </c>
      <c r="E92" s="1783"/>
      <c r="F92" s="2169" t="s">
        <v>1069</v>
      </c>
      <c r="G92" s="2170"/>
      <c r="H92" s="2171"/>
      <c r="I92" s="2156">
        <v>1534</v>
      </c>
    </row>
    <row r="93" spans="1:9" ht="30" customHeight="1">
      <c r="A93" s="1826" t="s">
        <v>1070</v>
      </c>
      <c r="B93" s="1827"/>
      <c r="C93" s="1828"/>
      <c r="D93" s="1829">
        <v>9547</v>
      </c>
      <c r="E93" s="1789"/>
      <c r="F93" s="2169"/>
      <c r="G93" s="2170"/>
      <c r="H93" s="2171"/>
      <c r="I93" s="2156"/>
    </row>
    <row r="94" spans="1:9" ht="30" customHeight="1">
      <c r="A94" s="1826" t="s">
        <v>1071</v>
      </c>
      <c r="B94" s="1827"/>
      <c r="C94" s="1828"/>
      <c r="D94" s="1829">
        <v>20082</v>
      </c>
      <c r="E94" s="1789"/>
      <c r="F94" s="2172" t="s">
        <v>1072</v>
      </c>
      <c r="G94" s="2173"/>
      <c r="H94" s="2174"/>
      <c r="I94" s="2156">
        <v>1500</v>
      </c>
    </row>
    <row r="95" spans="1:9" ht="30" customHeight="1" thickBot="1">
      <c r="A95" s="1834" t="s">
        <v>1073</v>
      </c>
      <c r="B95" s="1835"/>
      <c r="C95" s="1836"/>
      <c r="D95" s="1837">
        <v>41943</v>
      </c>
      <c r="E95" s="1789"/>
      <c r="F95" s="2175"/>
      <c r="G95" s="2176"/>
      <c r="H95" s="2177"/>
      <c r="I95" s="2168"/>
    </row>
    <row r="96" spans="1:9" ht="30" customHeight="1">
      <c r="A96" s="1844"/>
      <c r="B96" s="1844"/>
      <c r="C96" s="1844"/>
      <c r="D96" s="1845"/>
      <c r="F96" s="1847"/>
      <c r="G96" s="1848"/>
      <c r="H96" s="1849"/>
      <c r="I96" s="1849"/>
    </row>
  </sheetData>
  <sheetProtection/>
  <mergeCells count="23">
    <mergeCell ref="A51:I51"/>
    <mergeCell ref="A2:I2"/>
    <mergeCell ref="A1:I1"/>
    <mergeCell ref="A5:D5"/>
    <mergeCell ref="A6:D6"/>
    <mergeCell ref="A3:I3"/>
    <mergeCell ref="F5:I5"/>
    <mergeCell ref="I94:I95"/>
    <mergeCell ref="F88:H89"/>
    <mergeCell ref="F90:H91"/>
    <mergeCell ref="F92:H93"/>
    <mergeCell ref="F94:H95"/>
    <mergeCell ref="I88:I89"/>
    <mergeCell ref="I92:I93"/>
    <mergeCell ref="A52:I52"/>
    <mergeCell ref="I90:I91"/>
    <mergeCell ref="A79:I79"/>
    <mergeCell ref="A81:I81"/>
    <mergeCell ref="A83:D84"/>
    <mergeCell ref="I86:I87"/>
    <mergeCell ref="F84:H84"/>
    <mergeCell ref="F86:H87"/>
    <mergeCell ref="A82:D82"/>
  </mergeCells>
  <hyperlinks>
    <hyperlink ref="A6" r:id="rId1" display="http://gidrouzel.3dn.ru"/>
  </hyperlinks>
  <printOptions horizontalCentered="1"/>
  <pageMargins left="0.1968503937007874" right="0.3937007874015748" top="0.3937007874015748" bottom="0.3937007874015748" header="0" footer="0"/>
  <pageSetup horizontalDpi="600" verticalDpi="600" orientation="portrait" paperSize="9" scale="65" r:id="rId5"/>
  <headerFooter alignWithMargins="0">
    <oddFooter>&amp;CСтраница  &amp;P</oddFooter>
  </headerFooter>
  <drawing r:id="rId4"/>
  <legacyDrawing r:id="rId3"/>
  <oleObjects>
    <oleObject progId="Word.Picture.8" shapeId="7700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0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9" customHeight="1"/>
  <cols>
    <col min="1" max="1" width="22.625" style="82" customWidth="1"/>
    <col min="2" max="2" width="9.00390625" style="82" customWidth="1"/>
    <col min="3" max="3" width="8.00390625" style="82" customWidth="1"/>
    <col min="4" max="4" width="9.125" style="82" customWidth="1"/>
    <col min="5" max="5" width="9.375" style="99" customWidth="1"/>
    <col min="6" max="6" width="0.875" style="82" customWidth="1"/>
    <col min="7" max="7" width="16.25390625" style="82" customWidth="1"/>
    <col min="8" max="8" width="9.375" style="82" customWidth="1"/>
    <col min="9" max="9" width="7.375" style="82" customWidth="1"/>
    <col min="10" max="10" width="7.75390625" style="82" customWidth="1"/>
    <col min="11" max="11" width="9.875" style="99" customWidth="1"/>
    <col min="12" max="12" width="0.12890625" style="82" customWidth="1"/>
    <col min="13" max="13" width="9.125" style="82" hidden="1" customWidth="1"/>
    <col min="14" max="14" width="8.875" style="82" customWidth="1"/>
    <col min="15" max="16384" width="9.125" style="82" customWidth="1"/>
  </cols>
  <sheetData>
    <row r="1" spans="1:11" s="326" customFormat="1" ht="13.5" customHeight="1">
      <c r="A1" s="2312" t="s">
        <v>131</v>
      </c>
      <c r="B1" s="2312"/>
      <c r="C1" s="2312"/>
      <c r="D1" s="2312"/>
      <c r="E1" s="2312"/>
      <c r="F1" s="2312"/>
      <c r="G1" s="2312"/>
      <c r="H1" s="2312"/>
      <c r="I1" s="2312"/>
      <c r="J1" s="2312"/>
      <c r="K1" s="2312"/>
    </row>
    <row r="2" spans="1:20" s="332" customFormat="1" ht="12" customHeight="1" thickBot="1">
      <c r="A2" s="327" t="s">
        <v>1749</v>
      </c>
      <c r="B2" s="328"/>
      <c r="C2" s="329"/>
      <c r="D2" s="330"/>
      <c r="E2" s="81"/>
      <c r="F2" s="331" t="s">
        <v>733</v>
      </c>
      <c r="H2" s="328"/>
      <c r="I2" s="333"/>
      <c r="J2" s="329"/>
      <c r="K2" s="328"/>
      <c r="L2" s="334"/>
      <c r="M2" s="334"/>
      <c r="N2" s="335"/>
      <c r="P2" s="81"/>
      <c r="Q2" s="81"/>
      <c r="R2" s="81"/>
      <c r="S2" s="81"/>
      <c r="T2" s="81"/>
    </row>
    <row r="3" spans="1:20" s="332" customFormat="1" ht="12" customHeight="1" thickBot="1" thickTop="1">
      <c r="A3" s="336" t="s">
        <v>148</v>
      </c>
      <c r="B3" s="337"/>
      <c r="C3" s="334"/>
      <c r="D3" s="334"/>
      <c r="E3" s="338"/>
      <c r="F3" s="334" t="s">
        <v>723</v>
      </c>
      <c r="G3" s="334"/>
      <c r="H3" s="337"/>
      <c r="I3" s="334"/>
      <c r="J3" s="334"/>
      <c r="K3" s="337"/>
      <c r="L3" s="339"/>
      <c r="M3" s="339"/>
      <c r="N3" s="340"/>
      <c r="P3" s="81"/>
      <c r="Q3" s="81"/>
      <c r="R3" s="81"/>
      <c r="S3" s="81"/>
      <c r="T3" s="81"/>
    </row>
    <row r="4" spans="1:11" ht="6" customHeight="1" thickTop="1">
      <c r="A4" s="2320"/>
      <c r="B4" s="2320"/>
      <c r="C4" s="2320"/>
      <c r="D4" s="2320"/>
      <c r="E4" s="2320"/>
      <c r="F4" s="2320"/>
      <c r="G4" s="2320"/>
      <c r="H4" s="2320"/>
      <c r="I4" s="2320"/>
      <c r="J4" s="2320"/>
      <c r="K4" s="2320"/>
    </row>
    <row r="5" spans="1:11" ht="12" customHeight="1" thickBot="1">
      <c r="A5" s="2319" t="s">
        <v>917</v>
      </c>
      <c r="B5" s="2319"/>
      <c r="C5" s="2319"/>
      <c r="D5" s="2319"/>
      <c r="E5" s="2319"/>
      <c r="F5" s="2319"/>
      <c r="G5" s="2319"/>
      <c r="H5" s="2313" t="s">
        <v>916</v>
      </c>
      <c r="I5" s="2313"/>
      <c r="J5" s="2313"/>
      <c r="K5" s="2313"/>
    </row>
    <row r="6" spans="1:11" ht="12" customHeight="1" thickBot="1">
      <c r="A6" s="2314" t="s">
        <v>732</v>
      </c>
      <c r="B6" s="2318"/>
      <c r="C6" s="2315"/>
      <c r="D6" s="2314" t="s">
        <v>1572</v>
      </c>
      <c r="E6" s="2318"/>
      <c r="F6" s="2318"/>
      <c r="G6" s="2315"/>
      <c r="H6" s="2314" t="s">
        <v>171</v>
      </c>
      <c r="I6" s="2315"/>
      <c r="J6" s="2316" t="s">
        <v>173</v>
      </c>
      <c r="K6" s="2317"/>
    </row>
    <row r="7" spans="1:11" ht="9.75" customHeight="1" thickBot="1">
      <c r="A7" s="163" t="s">
        <v>171</v>
      </c>
      <c r="B7" s="2316" t="s">
        <v>173</v>
      </c>
      <c r="C7" s="2317"/>
      <c r="D7" s="83" t="s">
        <v>1574</v>
      </c>
      <c r="E7" s="342"/>
      <c r="F7" s="343"/>
      <c r="G7" s="344">
        <f>21948*1.2</f>
        <v>26337.6</v>
      </c>
      <c r="H7" s="83" t="s">
        <v>1571</v>
      </c>
      <c r="I7" s="342"/>
      <c r="J7" s="345"/>
      <c r="K7" s="346">
        <f>24992*1.2</f>
        <v>29990.399999999998</v>
      </c>
    </row>
    <row r="8" spans="1:11" ht="9.75" customHeight="1">
      <c r="A8" s="347" t="s">
        <v>919</v>
      </c>
      <c r="B8" s="348">
        <f>60440*1.2</f>
        <v>72528</v>
      </c>
      <c r="C8" s="349"/>
      <c r="D8" s="69" t="s">
        <v>1585</v>
      </c>
      <c r="E8" s="350"/>
      <c r="F8" s="351"/>
      <c r="G8" s="352">
        <v>47677</v>
      </c>
      <c r="H8" s="69" t="s">
        <v>1573</v>
      </c>
      <c r="I8" s="350"/>
      <c r="J8" s="353"/>
      <c r="K8" s="354">
        <f>29125*1.2</f>
        <v>34950</v>
      </c>
    </row>
    <row r="9" spans="1:11" ht="9.75" customHeight="1">
      <c r="A9" s="355" t="s">
        <v>924</v>
      </c>
      <c r="B9" s="356">
        <f>63201*1.2</f>
        <v>75841.2</v>
      </c>
      <c r="C9" s="357"/>
      <c r="D9" s="69" t="s">
        <v>1575</v>
      </c>
      <c r="E9" s="350"/>
      <c r="F9" s="351"/>
      <c r="G9" s="352">
        <v>77306</v>
      </c>
      <c r="H9" s="54" t="s">
        <v>1587</v>
      </c>
      <c r="I9" s="358"/>
      <c r="J9" s="359"/>
      <c r="K9" s="354">
        <f>62100*1.2</f>
        <v>74520</v>
      </c>
    </row>
    <row r="10" spans="1:11" ht="9.75" customHeight="1">
      <c r="A10" s="355" t="s">
        <v>927</v>
      </c>
      <c r="B10" s="356">
        <f>94034*1.2</f>
        <v>112840.8</v>
      </c>
      <c r="C10" s="357"/>
      <c r="D10" s="69" t="s">
        <v>1586</v>
      </c>
      <c r="E10" s="350"/>
      <c r="F10" s="351"/>
      <c r="G10" s="352">
        <v>168335</v>
      </c>
      <c r="H10" s="54" t="s">
        <v>1588</v>
      </c>
      <c r="I10" s="358"/>
      <c r="J10" s="359"/>
      <c r="K10" s="354">
        <f>126196*1.2</f>
        <v>151435.19999999998</v>
      </c>
    </row>
    <row r="11" spans="1:11" ht="9.75" customHeight="1">
      <c r="A11" s="355" t="s">
        <v>932</v>
      </c>
      <c r="B11" s="356">
        <f>110141*1.2</f>
        <v>132169.19999999998</v>
      </c>
      <c r="C11" s="357"/>
      <c r="D11" s="69" t="s">
        <v>1576</v>
      </c>
      <c r="E11" s="350"/>
      <c r="F11" s="351"/>
      <c r="G11" s="352">
        <v>347365</v>
      </c>
      <c r="H11" s="54" t="s">
        <v>1594</v>
      </c>
      <c r="I11" s="358"/>
      <c r="J11" s="359"/>
      <c r="K11" s="354">
        <f>120570*1.2</f>
        <v>144684</v>
      </c>
    </row>
    <row r="12" spans="1:11" ht="9.75" customHeight="1" thickBot="1">
      <c r="A12" s="355" t="s">
        <v>936</v>
      </c>
      <c r="B12" s="356">
        <f>113823*1.2</f>
        <v>136587.6</v>
      </c>
      <c r="C12" s="357"/>
      <c r="D12" s="70" t="s">
        <v>625</v>
      </c>
      <c r="E12" s="360"/>
      <c r="F12" s="361"/>
      <c r="G12" s="362" t="s">
        <v>626</v>
      </c>
      <c r="H12" s="54" t="s">
        <v>1596</v>
      </c>
      <c r="I12" s="358"/>
      <c r="J12" s="359"/>
      <c r="K12" s="354">
        <f>143400*1.2</f>
        <v>172080</v>
      </c>
    </row>
    <row r="13" spans="1:11" ht="9.75" customHeight="1" thickBot="1">
      <c r="A13" s="355" t="s">
        <v>1513</v>
      </c>
      <c r="B13" s="356">
        <f>223887*1.2</f>
        <v>268664.39999999997</v>
      </c>
      <c r="C13" s="357"/>
      <c r="D13" s="2314" t="s">
        <v>916</v>
      </c>
      <c r="E13" s="2318"/>
      <c r="F13" s="2318"/>
      <c r="G13" s="2318"/>
      <c r="H13" s="54" t="s">
        <v>910</v>
      </c>
      <c r="I13" s="358"/>
      <c r="J13" s="359"/>
      <c r="K13" s="354">
        <f>8921*1.2</f>
        <v>10705.199999999999</v>
      </c>
    </row>
    <row r="14" spans="1:11" ht="9.75" customHeight="1" thickBot="1">
      <c r="A14" s="355" t="s">
        <v>1517</v>
      </c>
      <c r="B14" s="356">
        <f>229500*1.2</f>
        <v>275400</v>
      </c>
      <c r="C14" s="357"/>
      <c r="D14" s="2314" t="s">
        <v>171</v>
      </c>
      <c r="E14" s="2318"/>
      <c r="F14" s="363"/>
      <c r="G14" s="341" t="s">
        <v>173</v>
      </c>
      <c r="H14" s="54" t="s">
        <v>1605</v>
      </c>
      <c r="I14" s="358"/>
      <c r="J14" s="359"/>
      <c r="K14" s="354">
        <f>16567*1.2</f>
        <v>19880.399999999998</v>
      </c>
    </row>
    <row r="15" spans="1:11" ht="9.75" customHeight="1">
      <c r="A15" s="355" t="s">
        <v>1522</v>
      </c>
      <c r="B15" s="356">
        <f>72772*1.2</f>
        <v>87326.4</v>
      </c>
      <c r="C15" s="357"/>
      <c r="D15" s="83" t="s">
        <v>918</v>
      </c>
      <c r="E15" s="342"/>
      <c r="F15" s="343"/>
      <c r="G15" s="364">
        <f>18692*1.2</f>
        <v>22430.399999999998</v>
      </c>
      <c r="H15" s="54" t="s">
        <v>1607</v>
      </c>
      <c r="I15" s="358"/>
      <c r="J15" s="359"/>
      <c r="K15" s="354">
        <f>19046*1.2</f>
        <v>22855.2</v>
      </c>
    </row>
    <row r="16" spans="1:11" ht="9.75" customHeight="1">
      <c r="A16" s="355" t="s">
        <v>1525</v>
      </c>
      <c r="B16" s="356">
        <f>92336*1.2</f>
        <v>110803.2</v>
      </c>
      <c r="C16" s="357"/>
      <c r="D16" s="69" t="s">
        <v>921</v>
      </c>
      <c r="E16" s="350"/>
      <c r="F16" s="351"/>
      <c r="G16" s="365">
        <f>26196*1.2</f>
        <v>31435.199999999997</v>
      </c>
      <c r="H16" s="54" t="s">
        <v>1608</v>
      </c>
      <c r="I16" s="358"/>
      <c r="J16" s="359"/>
      <c r="K16" s="354">
        <f>22801*1.2</f>
        <v>27361.2</v>
      </c>
    </row>
    <row r="17" spans="1:11" ht="9.75" customHeight="1" thickBot="1">
      <c r="A17" s="355" t="s">
        <v>1560</v>
      </c>
      <c r="B17" s="366">
        <f>225320*1.2</f>
        <v>270384</v>
      </c>
      <c r="C17" s="357"/>
      <c r="D17" s="69" t="s">
        <v>923</v>
      </c>
      <c r="E17" s="350"/>
      <c r="F17" s="351"/>
      <c r="G17" s="365">
        <f>44604*1.2</f>
        <v>53524.799999999996</v>
      </c>
      <c r="H17" s="75" t="s">
        <v>1609</v>
      </c>
      <c r="I17" s="367"/>
      <c r="J17" s="368"/>
      <c r="K17" s="369" t="s">
        <v>337</v>
      </c>
    </row>
    <row r="18" spans="1:11" ht="9.75" customHeight="1" thickBot="1">
      <c r="A18" s="370" t="s">
        <v>920</v>
      </c>
      <c r="B18" s="356">
        <f>401908*1.2</f>
        <v>482289.6</v>
      </c>
      <c r="C18" s="357"/>
      <c r="D18" s="69" t="s">
        <v>926</v>
      </c>
      <c r="E18" s="350"/>
      <c r="F18" s="351"/>
      <c r="G18" s="371">
        <f>58764*1.2</f>
        <v>70516.8</v>
      </c>
      <c r="H18" s="2314" t="s">
        <v>533</v>
      </c>
      <c r="I18" s="2318"/>
      <c r="J18" s="2318"/>
      <c r="K18" s="2315"/>
    </row>
    <row r="19" spans="1:11" ht="9.75" customHeight="1">
      <c r="A19" s="370" t="s">
        <v>940</v>
      </c>
      <c r="B19" s="366">
        <f>26000*1.2</f>
        <v>31200</v>
      </c>
      <c r="C19" s="357"/>
      <c r="D19" s="69" t="s">
        <v>929</v>
      </c>
      <c r="E19" s="350"/>
      <c r="F19" s="351"/>
      <c r="G19" s="371">
        <f>11752*1.2</f>
        <v>14102.4</v>
      </c>
      <c r="H19" s="372" t="s">
        <v>1610</v>
      </c>
      <c r="I19" s="373"/>
      <c r="J19" s="374"/>
      <c r="K19" s="375">
        <v>11314</v>
      </c>
    </row>
    <row r="20" spans="1:11" ht="9.75" customHeight="1">
      <c r="A20" s="370" t="s">
        <v>1511</v>
      </c>
      <c r="B20" s="366">
        <f>39000*1.2</f>
        <v>46800</v>
      </c>
      <c r="C20" s="357"/>
      <c r="D20" s="69" t="s">
        <v>931</v>
      </c>
      <c r="E20" s="350"/>
      <c r="F20" s="351"/>
      <c r="G20" s="371">
        <f>18408*1.2</f>
        <v>22089.6</v>
      </c>
      <c r="H20" s="376" t="s">
        <v>1611</v>
      </c>
      <c r="I20" s="102"/>
      <c r="J20" s="359"/>
      <c r="K20" s="377">
        <v>12214</v>
      </c>
    </row>
    <row r="21" spans="1:11" ht="9.75" customHeight="1">
      <c r="A21" s="370" t="s">
        <v>1514</v>
      </c>
      <c r="B21" s="366">
        <f>13780*1.2</f>
        <v>16536</v>
      </c>
      <c r="C21" s="357"/>
      <c r="D21" s="69" t="s">
        <v>934</v>
      </c>
      <c r="E21" s="350"/>
      <c r="F21" s="351"/>
      <c r="G21" s="371">
        <f>21948*1.2</f>
        <v>26337.6</v>
      </c>
      <c r="H21" s="376" t="s">
        <v>1617</v>
      </c>
      <c r="I21" s="102"/>
      <c r="J21" s="359"/>
      <c r="K21" s="377">
        <v>13217</v>
      </c>
    </row>
    <row r="22" spans="1:11" ht="9.75" customHeight="1">
      <c r="A22" s="370" t="s">
        <v>1518</v>
      </c>
      <c r="B22" s="366">
        <f>26000*1.2</f>
        <v>31200</v>
      </c>
      <c r="C22" s="357"/>
      <c r="D22" s="69" t="s">
        <v>935</v>
      </c>
      <c r="E22" s="350"/>
      <c r="F22" s="351"/>
      <c r="G22" s="371">
        <f>29736*1.2</f>
        <v>35683.2</v>
      </c>
      <c r="H22" s="376" t="s">
        <v>1619</v>
      </c>
      <c r="I22" s="102"/>
      <c r="J22" s="359"/>
      <c r="K22" s="377">
        <v>14117</v>
      </c>
    </row>
    <row r="23" spans="1:11" ht="9.75" customHeight="1">
      <c r="A23" s="370" t="s">
        <v>1519</v>
      </c>
      <c r="B23" s="366">
        <f>86940*1.2</f>
        <v>104328</v>
      </c>
      <c r="C23" s="357"/>
      <c r="D23" s="69" t="s">
        <v>937</v>
      </c>
      <c r="E23" s="350"/>
      <c r="F23" s="351"/>
      <c r="G23" s="371">
        <f>31180*1.2</f>
        <v>37416</v>
      </c>
      <c r="H23" s="376" t="s">
        <v>1621</v>
      </c>
      <c r="I23" s="102"/>
      <c r="J23" s="359"/>
      <c r="K23" s="377">
        <v>16021</v>
      </c>
    </row>
    <row r="24" spans="1:11" ht="9.75" customHeight="1">
      <c r="A24" s="370" t="s">
        <v>1521</v>
      </c>
      <c r="B24" s="366">
        <f>25350*1.2</f>
        <v>30420</v>
      </c>
      <c r="C24" s="357"/>
      <c r="D24" s="69" t="s">
        <v>938</v>
      </c>
      <c r="E24" s="350"/>
      <c r="F24" s="351"/>
      <c r="G24" s="371">
        <f>47700*1.2</f>
        <v>57240</v>
      </c>
      <c r="H24" s="376" t="s">
        <v>1623</v>
      </c>
      <c r="I24" s="102"/>
      <c r="J24" s="359"/>
      <c r="K24" s="377">
        <v>34350</v>
      </c>
    </row>
    <row r="25" spans="1:11" ht="9.75" customHeight="1">
      <c r="A25" s="370" t="s">
        <v>1523</v>
      </c>
      <c r="B25" s="366">
        <f>37700*1.2</f>
        <v>45240</v>
      </c>
      <c r="C25" s="357"/>
      <c r="D25" s="69" t="s">
        <v>1512</v>
      </c>
      <c r="E25" s="350"/>
      <c r="F25" s="351"/>
      <c r="G25" s="371">
        <f>50551*1.2</f>
        <v>60661.2</v>
      </c>
      <c r="H25" s="376" t="s">
        <v>1625</v>
      </c>
      <c r="I25" s="102"/>
      <c r="J25" s="359"/>
      <c r="K25" s="377">
        <v>48573</v>
      </c>
    </row>
    <row r="26" spans="1:11" ht="9.75" customHeight="1">
      <c r="A26" s="355" t="s">
        <v>922</v>
      </c>
      <c r="B26" s="366">
        <f>64260*1.2</f>
        <v>77112</v>
      </c>
      <c r="C26" s="357"/>
      <c r="D26" s="69" t="s">
        <v>1516</v>
      </c>
      <c r="E26" s="350"/>
      <c r="F26" s="351"/>
      <c r="G26" s="371">
        <f>98044*1.2</f>
        <v>117652.8</v>
      </c>
      <c r="H26" s="376" t="s">
        <v>1628</v>
      </c>
      <c r="I26" s="102"/>
      <c r="J26" s="359"/>
      <c r="K26" s="377">
        <v>13014</v>
      </c>
    </row>
    <row r="27" spans="1:11" ht="9.75" customHeight="1">
      <c r="A27" s="355" t="s">
        <v>925</v>
      </c>
      <c r="B27" s="366">
        <f>33150*1.2</f>
        <v>39780</v>
      </c>
      <c r="C27" s="357"/>
      <c r="D27" s="69" t="s">
        <v>1520</v>
      </c>
      <c r="E27" s="350"/>
      <c r="F27" s="351"/>
      <c r="G27" s="371">
        <f>154022*1.2</f>
        <v>184826.4</v>
      </c>
      <c r="H27" s="376" t="s">
        <v>1630</v>
      </c>
      <c r="I27" s="102"/>
      <c r="J27" s="359"/>
      <c r="K27" s="377">
        <v>14214</v>
      </c>
    </row>
    <row r="28" spans="1:11" ht="9.75" customHeight="1">
      <c r="A28" s="355" t="s">
        <v>928</v>
      </c>
      <c r="B28" s="356">
        <f>15957*1.2</f>
        <v>19148.399999999998</v>
      </c>
      <c r="C28" s="357"/>
      <c r="D28" s="69" t="s">
        <v>1524</v>
      </c>
      <c r="E28" s="350"/>
      <c r="F28" s="351"/>
      <c r="G28" s="371">
        <f>39920*1.2</f>
        <v>47904</v>
      </c>
      <c r="H28" s="376" t="s">
        <v>1632</v>
      </c>
      <c r="I28" s="102"/>
      <c r="J28" s="359"/>
      <c r="K28" s="377">
        <v>15321</v>
      </c>
    </row>
    <row r="29" spans="1:11" ht="9.75" customHeight="1">
      <c r="A29" s="355" t="s">
        <v>930</v>
      </c>
      <c r="B29" s="366">
        <f>17995*1.2</f>
        <v>21594</v>
      </c>
      <c r="C29" s="357"/>
      <c r="D29" s="69" t="s">
        <v>1559</v>
      </c>
      <c r="E29" s="350"/>
      <c r="F29" s="351"/>
      <c r="G29" s="371">
        <f>49720*1.2</f>
        <v>59664</v>
      </c>
      <c r="H29" s="376" t="s">
        <v>1634</v>
      </c>
      <c r="I29" s="102"/>
      <c r="J29" s="359"/>
      <c r="K29" s="377">
        <v>16522</v>
      </c>
    </row>
    <row r="30" spans="1:11" ht="9.75" customHeight="1">
      <c r="A30" s="355" t="s">
        <v>933</v>
      </c>
      <c r="B30" s="366">
        <f>25935*1.2</f>
        <v>31122</v>
      </c>
      <c r="C30" s="357"/>
      <c r="D30" s="69" t="s">
        <v>1568</v>
      </c>
      <c r="E30" s="350"/>
      <c r="F30" s="351"/>
      <c r="G30" s="371">
        <f>65230*1.2</f>
        <v>78276</v>
      </c>
      <c r="H30" s="376" t="s">
        <v>1636</v>
      </c>
      <c r="I30" s="102"/>
      <c r="J30" s="359"/>
      <c r="K30" s="377">
        <v>19026</v>
      </c>
    </row>
    <row r="31" spans="1:11" ht="9.75" customHeight="1">
      <c r="A31" s="355" t="s">
        <v>1515</v>
      </c>
      <c r="B31" s="366">
        <f>30290*1.2</f>
        <v>36348</v>
      </c>
      <c r="C31" s="357"/>
      <c r="D31" s="69" t="s">
        <v>1569</v>
      </c>
      <c r="E31" s="350"/>
      <c r="F31" s="351"/>
      <c r="G31" s="371">
        <f>113102*1.2</f>
        <v>135722.4</v>
      </c>
      <c r="H31" s="378" t="s">
        <v>1638</v>
      </c>
      <c r="I31" s="102"/>
      <c r="J31" s="359"/>
      <c r="K31" s="379">
        <v>42863</v>
      </c>
    </row>
    <row r="32" spans="1:11" ht="9.75" customHeight="1" thickBot="1">
      <c r="A32" s="70" t="s">
        <v>1558</v>
      </c>
      <c r="B32" s="380">
        <f>53800*1.2</f>
        <v>64560</v>
      </c>
      <c r="C32" s="381"/>
      <c r="D32" s="70" t="s">
        <v>1570</v>
      </c>
      <c r="E32" s="360"/>
      <c r="F32" s="361"/>
      <c r="G32" s="382">
        <f>315100*1.2</f>
        <v>378120</v>
      </c>
      <c r="H32" s="79" t="s">
        <v>1640</v>
      </c>
      <c r="I32" s="103"/>
      <c r="J32" s="368"/>
      <c r="K32" s="383">
        <v>61092</v>
      </c>
    </row>
    <row r="33" spans="1:11" ht="8.25" customHeight="1" thickBot="1">
      <c r="A33" s="384"/>
      <c r="B33" s="385"/>
      <c r="C33" s="386"/>
      <c r="D33" s="384"/>
      <c r="E33" s="386"/>
      <c r="F33" s="387"/>
      <c r="G33" s="388"/>
      <c r="H33" s="389"/>
      <c r="I33" s="390"/>
      <c r="J33" s="386"/>
      <c r="K33" s="391"/>
    </row>
    <row r="34" spans="1:11" ht="21" customHeight="1" thickTop="1">
      <c r="A34" s="2332" t="s">
        <v>1505</v>
      </c>
      <c r="B34" s="2332"/>
      <c r="C34" s="2332"/>
      <c r="D34" s="2332"/>
      <c r="E34" s="2332"/>
      <c r="F34" s="2332"/>
      <c r="G34" s="2332"/>
      <c r="H34" s="2332"/>
      <c r="I34" s="2332"/>
      <c r="J34" s="2332"/>
      <c r="K34" s="2332"/>
    </row>
    <row r="35" spans="1:11" ht="58.5" customHeight="1">
      <c r="A35" s="2322" t="s">
        <v>773</v>
      </c>
      <c r="B35" s="2322"/>
      <c r="C35" s="2322"/>
      <c r="D35" s="2322"/>
      <c r="E35" s="2322"/>
      <c r="F35" s="2322"/>
      <c r="G35" s="2322"/>
      <c r="H35" s="2322"/>
      <c r="I35" s="2322"/>
      <c r="J35" s="2322"/>
      <c r="K35" s="2322"/>
    </row>
    <row r="36" spans="1:11" ht="11.25" customHeight="1" thickBot="1">
      <c r="A36" s="48" t="s">
        <v>67</v>
      </c>
      <c r="B36" s="48"/>
      <c r="C36" s="48"/>
      <c r="D36" s="74"/>
      <c r="E36" s="74"/>
      <c r="F36" s="74"/>
      <c r="G36" s="48" t="s">
        <v>62</v>
      </c>
      <c r="H36" s="48"/>
      <c r="I36" s="48"/>
      <c r="J36" s="74"/>
      <c r="K36" s="74"/>
    </row>
    <row r="37" spans="1:11" s="332" customFormat="1" ht="9.75" customHeight="1" thickBot="1">
      <c r="A37" s="392" t="s">
        <v>398</v>
      </c>
      <c r="B37" s="393" t="s">
        <v>399</v>
      </c>
      <c r="C37" s="394" t="s">
        <v>400</v>
      </c>
      <c r="D37" s="393" t="s">
        <v>401</v>
      </c>
      <c r="E37" s="395" t="s">
        <v>1969</v>
      </c>
      <c r="F37" s="396"/>
      <c r="G37" s="392" t="s">
        <v>398</v>
      </c>
      <c r="H37" s="394" t="s">
        <v>399</v>
      </c>
      <c r="I37" s="394" t="s">
        <v>400</v>
      </c>
      <c r="J37" s="393" t="s">
        <v>401</v>
      </c>
      <c r="K37" s="395" t="s">
        <v>696</v>
      </c>
    </row>
    <row r="38" spans="1:11" s="402" customFormat="1" ht="9.75" customHeight="1">
      <c r="A38" s="397" t="s">
        <v>403</v>
      </c>
      <c r="B38" s="398">
        <v>1.5</v>
      </c>
      <c r="C38" s="398">
        <v>2.5</v>
      </c>
      <c r="D38" s="398">
        <v>0.22</v>
      </c>
      <c r="E38" s="399">
        <v>2581</v>
      </c>
      <c r="F38" s="400"/>
      <c r="G38" s="397" t="s">
        <v>404</v>
      </c>
      <c r="H38" s="401">
        <v>2</v>
      </c>
      <c r="I38" s="398">
        <v>2</v>
      </c>
      <c r="J38" s="398">
        <v>0.045</v>
      </c>
      <c r="K38" s="399">
        <v>3215</v>
      </c>
    </row>
    <row r="39" spans="1:11" s="402" customFormat="1" ht="9.75" customHeight="1">
      <c r="A39" s="403" t="s">
        <v>410</v>
      </c>
      <c r="B39" s="404">
        <v>2</v>
      </c>
      <c r="C39" s="404">
        <v>3.5</v>
      </c>
      <c r="D39" s="404">
        <v>0.37</v>
      </c>
      <c r="E39" s="405">
        <v>3097</v>
      </c>
      <c r="F39" s="400"/>
      <c r="G39" s="403" t="s">
        <v>411</v>
      </c>
      <c r="H39" s="404">
        <v>2.5</v>
      </c>
      <c r="I39" s="404">
        <v>3</v>
      </c>
      <c r="J39" s="404">
        <v>0.065</v>
      </c>
      <c r="K39" s="405">
        <v>3879</v>
      </c>
    </row>
    <row r="40" spans="1:11" s="402" customFormat="1" ht="9.75" customHeight="1">
      <c r="A40" s="403" t="s">
        <v>412</v>
      </c>
      <c r="B40" s="404">
        <v>2</v>
      </c>
      <c r="C40" s="404">
        <v>2.5</v>
      </c>
      <c r="D40" s="404">
        <v>0.13</v>
      </c>
      <c r="E40" s="405">
        <v>2813</v>
      </c>
      <c r="F40" s="400"/>
      <c r="G40" s="403" t="s">
        <v>694</v>
      </c>
      <c r="H40" s="404">
        <v>2.5</v>
      </c>
      <c r="I40" s="404">
        <v>3</v>
      </c>
      <c r="J40" s="404">
        <v>0.09</v>
      </c>
      <c r="K40" s="405">
        <v>4118</v>
      </c>
    </row>
    <row r="41" spans="1:11" s="402" customFormat="1" ht="9.75" customHeight="1">
      <c r="A41" s="403" t="s">
        <v>911</v>
      </c>
      <c r="B41" s="404">
        <v>2</v>
      </c>
      <c r="C41" s="404">
        <v>2.5</v>
      </c>
      <c r="D41" s="404">
        <v>0.22</v>
      </c>
      <c r="E41" s="405">
        <v>3277</v>
      </c>
      <c r="F41" s="400"/>
      <c r="G41" s="403" t="s">
        <v>695</v>
      </c>
      <c r="H41" s="404">
        <v>5</v>
      </c>
      <c r="I41" s="404">
        <v>4</v>
      </c>
      <c r="J41" s="404">
        <v>0.22</v>
      </c>
      <c r="K41" s="405">
        <v>9432</v>
      </c>
    </row>
    <row r="42" spans="1:11" s="402" customFormat="1" ht="9.75" customHeight="1">
      <c r="A42" s="403" t="s">
        <v>560</v>
      </c>
      <c r="B42" s="406">
        <v>8</v>
      </c>
      <c r="C42" s="406">
        <v>6</v>
      </c>
      <c r="D42" s="406">
        <v>0.18</v>
      </c>
      <c r="E42" s="405">
        <v>14228</v>
      </c>
      <c r="F42" s="407"/>
      <c r="G42" s="403" t="s">
        <v>912</v>
      </c>
      <c r="H42" s="406">
        <v>6</v>
      </c>
      <c r="I42" s="406">
        <v>4</v>
      </c>
      <c r="J42" s="406">
        <v>0.25</v>
      </c>
      <c r="K42" s="405">
        <v>14775</v>
      </c>
    </row>
    <row r="43" spans="1:11" s="402" customFormat="1" ht="9.75" customHeight="1">
      <c r="A43" s="403" t="s">
        <v>572</v>
      </c>
      <c r="B43" s="406">
        <v>10</v>
      </c>
      <c r="C43" s="406">
        <v>8</v>
      </c>
      <c r="D43" s="406">
        <v>0.35</v>
      </c>
      <c r="E43" s="405">
        <v>17283</v>
      </c>
      <c r="F43" s="407"/>
      <c r="G43" s="403" t="s">
        <v>913</v>
      </c>
      <c r="H43" s="406">
        <v>10</v>
      </c>
      <c r="I43" s="406">
        <v>4.5</v>
      </c>
      <c r="J43" s="406">
        <v>0.2</v>
      </c>
      <c r="K43" s="405">
        <v>15587</v>
      </c>
    </row>
    <row r="44" spans="1:11" s="402" customFormat="1" ht="9.75" customHeight="1">
      <c r="A44" s="403" t="s">
        <v>573</v>
      </c>
      <c r="B44" s="406">
        <v>15</v>
      </c>
      <c r="C44" s="406">
        <v>3.5</v>
      </c>
      <c r="D44" s="406">
        <v>0.18</v>
      </c>
      <c r="E44" s="405">
        <v>16498</v>
      </c>
      <c r="F44" s="407"/>
      <c r="G44" s="403" t="s">
        <v>914</v>
      </c>
      <c r="H44" s="406">
        <v>16</v>
      </c>
      <c r="I44" s="406">
        <v>4</v>
      </c>
      <c r="J44" s="406">
        <v>0.3</v>
      </c>
      <c r="K44" s="405">
        <v>19672</v>
      </c>
    </row>
    <row r="45" spans="1:11" s="402" customFormat="1" ht="9.75" customHeight="1">
      <c r="A45" s="403" t="s">
        <v>574</v>
      </c>
      <c r="B45" s="406">
        <v>20</v>
      </c>
      <c r="C45" s="406">
        <v>8</v>
      </c>
      <c r="D45" s="406">
        <v>0.35</v>
      </c>
      <c r="E45" s="405">
        <v>17894</v>
      </c>
      <c r="F45" s="407"/>
      <c r="G45" s="403" t="s">
        <v>2042</v>
      </c>
      <c r="H45" s="406">
        <v>18</v>
      </c>
      <c r="I45" s="406">
        <v>7</v>
      </c>
      <c r="J45" s="406">
        <v>0.4</v>
      </c>
      <c r="K45" s="405">
        <v>24165</v>
      </c>
    </row>
    <row r="46" spans="1:11" s="402" customFormat="1" ht="9.75" customHeight="1">
      <c r="A46" s="403" t="s">
        <v>575</v>
      </c>
      <c r="B46" s="404">
        <v>20</v>
      </c>
      <c r="C46" s="404">
        <v>4</v>
      </c>
      <c r="D46" s="404">
        <v>0.35</v>
      </c>
      <c r="E46" s="405">
        <v>20571</v>
      </c>
      <c r="F46" s="407"/>
      <c r="G46" s="403" t="s">
        <v>1754</v>
      </c>
      <c r="H46" s="404">
        <v>24</v>
      </c>
      <c r="I46" s="404">
        <v>3.5</v>
      </c>
      <c r="J46" s="404">
        <v>0.4</v>
      </c>
      <c r="K46" s="405">
        <v>24165</v>
      </c>
    </row>
    <row r="47" spans="1:11" s="402" customFormat="1" ht="9.75" customHeight="1">
      <c r="A47" s="403" t="s">
        <v>576</v>
      </c>
      <c r="B47" s="404">
        <v>20</v>
      </c>
      <c r="C47" s="404">
        <v>7</v>
      </c>
      <c r="D47" s="404">
        <v>0.57</v>
      </c>
      <c r="E47" s="405">
        <v>22113</v>
      </c>
      <c r="F47" s="407"/>
      <c r="G47" s="403" t="s">
        <v>2043</v>
      </c>
      <c r="H47" s="404">
        <v>24</v>
      </c>
      <c r="I47" s="404">
        <v>8</v>
      </c>
      <c r="J47" s="404">
        <v>1.15</v>
      </c>
      <c r="K47" s="405">
        <v>28873</v>
      </c>
    </row>
    <row r="48" spans="1:11" s="402" customFormat="1" ht="9.75" customHeight="1">
      <c r="A48" s="403" t="s">
        <v>1755</v>
      </c>
      <c r="B48" s="408">
        <v>30</v>
      </c>
      <c r="C48" s="408">
        <v>12</v>
      </c>
      <c r="D48" s="408">
        <v>2.7</v>
      </c>
      <c r="E48" s="409">
        <v>99058</v>
      </c>
      <c r="F48" s="407"/>
      <c r="G48" s="403" t="s">
        <v>1756</v>
      </c>
      <c r="H48" s="406">
        <v>30</v>
      </c>
      <c r="I48" s="408">
        <v>4.5</v>
      </c>
      <c r="J48" s="408">
        <v>0.57</v>
      </c>
      <c r="K48" s="409">
        <v>36639</v>
      </c>
    </row>
    <row r="49" spans="1:11" s="402" customFormat="1" ht="9.75" customHeight="1">
      <c r="A49" s="403" t="s">
        <v>1757</v>
      </c>
      <c r="B49" s="404">
        <v>40</v>
      </c>
      <c r="C49" s="404">
        <v>6</v>
      </c>
      <c r="D49" s="404">
        <v>1.3</v>
      </c>
      <c r="E49" s="405">
        <v>38751</v>
      </c>
      <c r="F49" s="407"/>
      <c r="G49" s="403" t="s">
        <v>1758</v>
      </c>
      <c r="H49" s="404">
        <v>40</v>
      </c>
      <c r="I49" s="404">
        <v>7</v>
      </c>
      <c r="J49" s="404">
        <v>1.1</v>
      </c>
      <c r="K49" s="405">
        <v>37776</v>
      </c>
    </row>
    <row r="50" spans="1:11" s="402" customFormat="1" ht="9.75" customHeight="1" thickBot="1">
      <c r="A50" s="410" t="s">
        <v>1759</v>
      </c>
      <c r="B50" s="411">
        <v>50</v>
      </c>
      <c r="C50" s="411">
        <v>8</v>
      </c>
      <c r="D50" s="411">
        <v>2.7</v>
      </c>
      <c r="E50" s="412">
        <v>107767</v>
      </c>
      <c r="F50" s="407"/>
      <c r="G50" s="410" t="s">
        <v>1769</v>
      </c>
      <c r="H50" s="411">
        <v>50</v>
      </c>
      <c r="I50" s="411">
        <v>2.4</v>
      </c>
      <c r="J50" s="411">
        <v>0.46</v>
      </c>
      <c r="K50" s="412">
        <v>41375</v>
      </c>
    </row>
    <row r="51" spans="1:11" ht="12" customHeight="1" thickBot="1">
      <c r="A51" s="48" t="s">
        <v>60</v>
      </c>
      <c r="B51" s="48"/>
      <c r="C51" s="48"/>
      <c r="D51" s="74"/>
      <c r="E51" s="74"/>
      <c r="F51" s="74"/>
      <c r="G51" s="48" t="s">
        <v>60</v>
      </c>
      <c r="H51" s="48"/>
      <c r="I51" s="48"/>
      <c r="J51" s="74"/>
      <c r="K51" s="74"/>
    </row>
    <row r="52" spans="1:11" s="332" customFormat="1" ht="11.25" customHeight="1" thickBot="1">
      <c r="A52" s="392" t="s">
        <v>398</v>
      </c>
      <c r="B52" s="393" t="s">
        <v>399</v>
      </c>
      <c r="C52" s="394" t="s">
        <v>400</v>
      </c>
      <c r="D52" s="393" t="s">
        <v>401</v>
      </c>
      <c r="E52" s="395" t="s">
        <v>939</v>
      </c>
      <c r="F52" s="413"/>
      <c r="G52" s="392" t="s">
        <v>398</v>
      </c>
      <c r="H52" s="393" t="s">
        <v>399</v>
      </c>
      <c r="I52" s="394" t="s">
        <v>400</v>
      </c>
      <c r="J52" s="393" t="s">
        <v>401</v>
      </c>
      <c r="K52" s="395" t="s">
        <v>939</v>
      </c>
    </row>
    <row r="53" spans="1:11" s="96" customFormat="1" ht="9.75" customHeight="1">
      <c r="A53" s="414" t="s">
        <v>1770</v>
      </c>
      <c r="B53" s="415">
        <v>1.5</v>
      </c>
      <c r="C53" s="415">
        <v>3</v>
      </c>
      <c r="D53" s="415">
        <v>0.04</v>
      </c>
      <c r="E53" s="416">
        <v>2882</v>
      </c>
      <c r="F53" s="87"/>
      <c r="G53" s="417" t="s">
        <v>2024</v>
      </c>
      <c r="H53" s="15">
        <v>20</v>
      </c>
      <c r="I53" s="15">
        <v>6</v>
      </c>
      <c r="J53" s="15">
        <v>0.84</v>
      </c>
      <c r="K53" s="53">
        <v>19973</v>
      </c>
    </row>
    <row r="54" spans="1:11" ht="9.75" customHeight="1">
      <c r="A54" s="418" t="s">
        <v>1771</v>
      </c>
      <c r="B54" s="419">
        <v>1.8</v>
      </c>
      <c r="C54" s="419">
        <v>4.5</v>
      </c>
      <c r="D54" s="419">
        <v>0.06</v>
      </c>
      <c r="E54" s="420">
        <v>3504</v>
      </c>
      <c r="F54" s="87"/>
      <c r="G54" s="421" t="s">
        <v>2025</v>
      </c>
      <c r="H54" s="16">
        <v>26</v>
      </c>
      <c r="I54" s="16">
        <v>10</v>
      </c>
      <c r="J54" s="16">
        <v>1.54</v>
      </c>
      <c r="K54" s="55">
        <v>21432</v>
      </c>
    </row>
    <row r="55" spans="1:11" ht="9.75" customHeight="1">
      <c r="A55" s="422" t="s">
        <v>709</v>
      </c>
      <c r="B55" s="423">
        <v>1.8</v>
      </c>
      <c r="C55" s="423">
        <v>5.5</v>
      </c>
      <c r="D55" s="423">
        <v>0.3</v>
      </c>
      <c r="E55" s="424">
        <v>6460</v>
      </c>
      <c r="F55" s="87"/>
      <c r="G55" s="421" t="s">
        <v>2026</v>
      </c>
      <c r="H55" s="16">
        <v>18</v>
      </c>
      <c r="I55" s="16">
        <v>3</v>
      </c>
      <c r="J55" s="16">
        <v>0.4</v>
      </c>
      <c r="K55" s="55">
        <v>20645</v>
      </c>
    </row>
    <row r="56" spans="1:11" ht="9.75" customHeight="1">
      <c r="A56" s="425" t="s">
        <v>1772</v>
      </c>
      <c r="B56" s="419">
        <v>8</v>
      </c>
      <c r="C56" s="419">
        <v>4</v>
      </c>
      <c r="D56" s="419">
        <v>0.24</v>
      </c>
      <c r="E56" s="420">
        <v>7080</v>
      </c>
      <c r="F56" s="87"/>
      <c r="G56" s="421" t="s">
        <v>2027</v>
      </c>
      <c r="H56" s="16">
        <v>24</v>
      </c>
      <c r="I56" s="16">
        <v>4</v>
      </c>
      <c r="J56" s="16">
        <v>0.7</v>
      </c>
      <c r="K56" s="55">
        <v>19663</v>
      </c>
    </row>
    <row r="57" spans="1:11" ht="9.75" customHeight="1">
      <c r="A57" s="425" t="s">
        <v>1773</v>
      </c>
      <c r="B57" s="419">
        <v>5</v>
      </c>
      <c r="C57" s="419">
        <v>5</v>
      </c>
      <c r="D57" s="419">
        <v>0.23</v>
      </c>
      <c r="E57" s="424">
        <v>7459</v>
      </c>
      <c r="F57" s="87"/>
      <c r="G57" s="421" t="s">
        <v>2028</v>
      </c>
      <c r="H57" s="16">
        <v>30</v>
      </c>
      <c r="I57" s="16">
        <v>6</v>
      </c>
      <c r="J57" s="16">
        <v>1.2</v>
      </c>
      <c r="K57" s="55">
        <v>22314</v>
      </c>
    </row>
    <row r="58" spans="1:11" ht="9.75" customHeight="1">
      <c r="A58" s="421" t="s">
        <v>2029</v>
      </c>
      <c r="B58" s="16">
        <v>4</v>
      </c>
      <c r="C58" s="16">
        <v>2.3</v>
      </c>
      <c r="D58" s="16">
        <v>0.16</v>
      </c>
      <c r="E58" s="55">
        <v>13496</v>
      </c>
      <c r="F58" s="87"/>
      <c r="G58" s="421" t="s">
        <v>2030</v>
      </c>
      <c r="H58" s="16">
        <v>35</v>
      </c>
      <c r="I58" s="16">
        <v>8</v>
      </c>
      <c r="J58" s="16">
        <v>1.7</v>
      </c>
      <c r="K58" s="55">
        <v>23005</v>
      </c>
    </row>
    <row r="59" spans="1:11" ht="9.75" customHeight="1">
      <c r="A59" s="421" t="s">
        <v>2031</v>
      </c>
      <c r="B59" s="16">
        <v>7</v>
      </c>
      <c r="C59" s="16">
        <v>4</v>
      </c>
      <c r="D59" s="16">
        <v>0.3</v>
      </c>
      <c r="E59" s="55">
        <v>15845</v>
      </c>
      <c r="F59" s="87"/>
      <c r="G59" s="421" t="s">
        <v>2032</v>
      </c>
      <c r="H59" s="16">
        <v>39</v>
      </c>
      <c r="I59" s="16">
        <v>10</v>
      </c>
      <c r="J59" s="16">
        <v>2.33</v>
      </c>
      <c r="K59" s="56">
        <v>23601</v>
      </c>
    </row>
    <row r="60" spans="1:11" ht="9.75" customHeight="1">
      <c r="A60" s="421" t="s">
        <v>2033</v>
      </c>
      <c r="B60" s="16">
        <v>7.5</v>
      </c>
      <c r="C60" s="16">
        <v>4</v>
      </c>
      <c r="D60" s="16">
        <v>0.3</v>
      </c>
      <c r="E60" s="55">
        <v>15367</v>
      </c>
      <c r="F60" s="87"/>
      <c r="G60" s="421" t="s">
        <v>2034</v>
      </c>
      <c r="H60" s="16">
        <v>38</v>
      </c>
      <c r="I60" s="16">
        <v>3</v>
      </c>
      <c r="J60" s="16">
        <v>0.66</v>
      </c>
      <c r="K60" s="55">
        <v>20303</v>
      </c>
    </row>
    <row r="61" spans="1:11" ht="9.75" customHeight="1">
      <c r="A61" s="421" t="s">
        <v>2035</v>
      </c>
      <c r="B61" s="16">
        <v>16</v>
      </c>
      <c r="C61" s="16">
        <v>5</v>
      </c>
      <c r="D61" s="16">
        <v>0.54</v>
      </c>
      <c r="E61" s="55">
        <v>15739</v>
      </c>
      <c r="F61" s="87"/>
      <c r="G61" s="421" t="s">
        <v>2036</v>
      </c>
      <c r="H61" s="16">
        <v>53</v>
      </c>
      <c r="I61" s="16">
        <v>6</v>
      </c>
      <c r="J61" s="16">
        <v>1.71</v>
      </c>
      <c r="K61" s="60">
        <v>26033</v>
      </c>
    </row>
    <row r="62" spans="1:11" ht="9.75" customHeight="1">
      <c r="A62" s="421" t="s">
        <v>2037</v>
      </c>
      <c r="B62" s="16">
        <v>5</v>
      </c>
      <c r="C62" s="16">
        <v>2</v>
      </c>
      <c r="D62" s="16">
        <v>0.22</v>
      </c>
      <c r="E62" s="55">
        <v>19125</v>
      </c>
      <c r="F62" s="87"/>
      <c r="G62" s="425" t="s">
        <v>2038</v>
      </c>
      <c r="H62" s="419">
        <v>60</v>
      </c>
      <c r="I62" s="419">
        <v>8</v>
      </c>
      <c r="J62" s="419">
        <v>2.7</v>
      </c>
      <c r="K62" s="420">
        <v>26795</v>
      </c>
    </row>
    <row r="63" spans="1:11" ht="9.75" customHeight="1" thickBot="1">
      <c r="A63" s="426" t="s">
        <v>2039</v>
      </c>
      <c r="B63" s="17">
        <v>10</v>
      </c>
      <c r="C63" s="17">
        <v>4</v>
      </c>
      <c r="D63" s="17">
        <v>0.37</v>
      </c>
      <c r="E63" s="62">
        <v>16367</v>
      </c>
      <c r="F63" s="87"/>
      <c r="G63" s="426" t="s">
        <v>2040</v>
      </c>
      <c r="H63" s="17">
        <v>38</v>
      </c>
      <c r="I63" s="17">
        <v>10</v>
      </c>
      <c r="J63" s="17">
        <v>2.21</v>
      </c>
      <c r="K63" s="62">
        <v>27416</v>
      </c>
    </row>
    <row r="64" spans="1:11" ht="15.75" customHeight="1">
      <c r="A64" s="2297" t="s">
        <v>772</v>
      </c>
      <c r="B64" s="2297"/>
      <c r="C64" s="2297"/>
      <c r="D64" s="2297"/>
      <c r="E64" s="2297"/>
      <c r="F64" s="2297"/>
      <c r="G64" s="2297"/>
      <c r="H64" s="2297"/>
      <c r="I64" s="2297"/>
      <c r="J64" s="2297"/>
      <c r="K64" s="2297"/>
    </row>
    <row r="65" spans="1:11" ht="9" customHeight="1">
      <c r="A65" s="2323" t="s">
        <v>1506</v>
      </c>
      <c r="B65" s="2323"/>
      <c r="C65" s="2323"/>
      <c r="D65" s="2323"/>
      <c r="E65" s="2323"/>
      <c r="F65" s="2323"/>
      <c r="G65" s="2323"/>
      <c r="H65" s="2323"/>
      <c r="I65" s="2323"/>
      <c r="J65" s="2323"/>
      <c r="K65" s="2323"/>
    </row>
    <row r="66" spans="1:11" ht="9" customHeight="1">
      <c r="A66" s="2323" t="s">
        <v>1507</v>
      </c>
      <c r="B66" s="2323"/>
      <c r="C66" s="2323"/>
      <c r="D66" s="2323"/>
      <c r="E66" s="2323"/>
      <c r="F66" s="2323"/>
      <c r="G66" s="2323"/>
      <c r="H66" s="2323"/>
      <c r="I66" s="2323"/>
      <c r="J66" s="2323"/>
      <c r="K66" s="2323"/>
    </row>
    <row r="67" spans="1:11" ht="9" customHeight="1">
      <c r="A67" s="2324" t="s">
        <v>1508</v>
      </c>
      <c r="B67" s="2324"/>
      <c r="C67" s="2324"/>
      <c r="D67" s="2324"/>
      <c r="E67" s="2324"/>
      <c r="F67" s="2324"/>
      <c r="G67" s="2324"/>
      <c r="H67" s="2324"/>
      <c r="I67" s="2324"/>
      <c r="J67" s="2324"/>
      <c r="K67" s="2324"/>
    </row>
    <row r="68" spans="1:11" s="96" customFormat="1" ht="9" customHeight="1">
      <c r="A68" s="2322"/>
      <c r="B68" s="2322"/>
      <c r="C68" s="2322"/>
      <c r="D68" s="2322"/>
      <c r="E68" s="2322"/>
      <c r="F68" s="2322"/>
      <c r="G68" s="2322"/>
      <c r="H68" s="2322"/>
      <c r="I68" s="2322"/>
      <c r="J68" s="2322"/>
      <c r="K68" s="2322"/>
    </row>
    <row r="69" spans="1:11" ht="9" customHeight="1" thickBot="1">
      <c r="A69" s="2324" t="s">
        <v>62</v>
      </c>
      <c r="B69" s="2326"/>
      <c r="C69" s="2326"/>
      <c r="D69" s="2326"/>
      <c r="E69" s="2326"/>
      <c r="F69" s="2326"/>
      <c r="G69" s="2327" t="s">
        <v>60</v>
      </c>
      <c r="H69" s="2328"/>
      <c r="I69" s="2328"/>
      <c r="J69" s="2328"/>
      <c r="K69" s="2328"/>
    </row>
    <row r="70" spans="1:11" s="332" customFormat="1" ht="9.75" customHeight="1" thickBot="1">
      <c r="A70" s="427" t="s">
        <v>398</v>
      </c>
      <c r="B70" s="428" t="s">
        <v>399</v>
      </c>
      <c r="C70" s="429" t="s">
        <v>400</v>
      </c>
      <c r="D70" s="430" t="s">
        <v>401</v>
      </c>
      <c r="E70" s="431" t="s">
        <v>696</v>
      </c>
      <c r="F70" s="396"/>
      <c r="G70" s="432" t="s">
        <v>398</v>
      </c>
      <c r="H70" s="430" t="s">
        <v>399</v>
      </c>
      <c r="I70" s="433" t="s">
        <v>400</v>
      </c>
      <c r="J70" s="430" t="s">
        <v>401</v>
      </c>
      <c r="K70" s="431" t="s">
        <v>939</v>
      </c>
    </row>
    <row r="71" spans="1:11" ht="9.75" customHeight="1">
      <c r="A71" s="50" t="s">
        <v>2020</v>
      </c>
      <c r="B71" s="434">
        <v>8</v>
      </c>
      <c r="C71" s="435">
        <v>8</v>
      </c>
      <c r="D71" s="434">
        <v>0.3</v>
      </c>
      <c r="E71" s="436">
        <v>32608</v>
      </c>
      <c r="F71" s="110"/>
      <c r="G71" s="437" t="s">
        <v>1801</v>
      </c>
      <c r="H71" s="435">
        <v>1.5</v>
      </c>
      <c r="I71" s="434">
        <v>3</v>
      </c>
      <c r="J71" s="434">
        <v>0.055</v>
      </c>
      <c r="K71" s="53">
        <v>2352</v>
      </c>
    </row>
    <row r="72" spans="1:11" ht="9.75" customHeight="1">
      <c r="A72" s="54" t="s">
        <v>2021</v>
      </c>
      <c r="B72" s="438">
        <v>10</v>
      </c>
      <c r="C72" s="439">
        <v>8</v>
      </c>
      <c r="D72" s="438">
        <v>0.4</v>
      </c>
      <c r="E72" s="440">
        <v>34995</v>
      </c>
      <c r="F72" s="110"/>
      <c r="G72" s="441" t="s">
        <v>1802</v>
      </c>
      <c r="H72" s="439">
        <v>1.5</v>
      </c>
      <c r="I72" s="438">
        <v>3.5</v>
      </c>
      <c r="J72" s="438">
        <v>0.066</v>
      </c>
      <c r="K72" s="55">
        <v>3361</v>
      </c>
    </row>
    <row r="73" spans="1:11" ht="9.75" customHeight="1">
      <c r="A73" s="54" t="s">
        <v>2022</v>
      </c>
      <c r="B73" s="438">
        <v>16</v>
      </c>
      <c r="C73" s="439">
        <v>4</v>
      </c>
      <c r="D73" s="438">
        <v>0.35</v>
      </c>
      <c r="E73" s="440">
        <v>43736</v>
      </c>
      <c r="F73" s="110"/>
      <c r="G73" s="441" t="s">
        <v>1803</v>
      </c>
      <c r="H73" s="439">
        <v>2</v>
      </c>
      <c r="I73" s="438">
        <v>4</v>
      </c>
      <c r="J73" s="438">
        <v>0.074</v>
      </c>
      <c r="K73" s="55">
        <v>3444</v>
      </c>
    </row>
    <row r="74" spans="1:11" ht="9.75" customHeight="1">
      <c r="A74" s="54" t="s">
        <v>2023</v>
      </c>
      <c r="B74" s="438">
        <v>20</v>
      </c>
      <c r="C74" s="439">
        <v>4</v>
      </c>
      <c r="D74" s="438">
        <v>0.35</v>
      </c>
      <c r="E74" s="440">
        <v>47238</v>
      </c>
      <c r="F74" s="110"/>
      <c r="G74" s="441" t="s">
        <v>2044</v>
      </c>
      <c r="H74" s="439">
        <v>6</v>
      </c>
      <c r="I74" s="438">
        <v>4</v>
      </c>
      <c r="J74" s="438">
        <v>0.157</v>
      </c>
      <c r="K74" s="55">
        <f>626*1.07</f>
        <v>669.82</v>
      </c>
    </row>
    <row r="75" spans="1:11" ht="9.75" customHeight="1">
      <c r="A75" s="54" t="s">
        <v>697</v>
      </c>
      <c r="B75" s="438">
        <v>30</v>
      </c>
      <c r="C75" s="439">
        <v>5</v>
      </c>
      <c r="D75" s="438">
        <v>0.65</v>
      </c>
      <c r="E75" s="440">
        <v>83101</v>
      </c>
      <c r="F75" s="110"/>
      <c r="G75" s="441" t="s">
        <v>2045</v>
      </c>
      <c r="H75" s="439">
        <v>10</v>
      </c>
      <c r="I75" s="438">
        <v>6</v>
      </c>
      <c r="J75" s="438">
        <v>0.265</v>
      </c>
      <c r="K75" s="55">
        <f>1292*1.07</f>
        <v>1382.44</v>
      </c>
    </row>
    <row r="76" spans="1:11" ht="9.75" customHeight="1" thickBot="1">
      <c r="A76" s="75" t="s">
        <v>698</v>
      </c>
      <c r="B76" s="442">
        <v>60</v>
      </c>
      <c r="C76" s="443">
        <v>3.5</v>
      </c>
      <c r="D76" s="442">
        <v>0.75</v>
      </c>
      <c r="E76" s="444">
        <v>91035</v>
      </c>
      <c r="F76" s="110"/>
      <c r="G76" s="445" t="s">
        <v>2046</v>
      </c>
      <c r="H76" s="443">
        <v>60</v>
      </c>
      <c r="I76" s="442">
        <v>8</v>
      </c>
      <c r="J76" s="442">
        <v>2.8</v>
      </c>
      <c r="K76" s="62">
        <f>3633*1.07</f>
        <v>3887.3100000000004</v>
      </c>
    </row>
    <row r="77" spans="1:11" ht="16.5" customHeight="1" thickTop="1">
      <c r="A77" s="2306" t="s">
        <v>69</v>
      </c>
      <c r="B77" s="2306"/>
      <c r="C77" s="2306"/>
      <c r="D77" s="2306"/>
      <c r="E77" s="2306"/>
      <c r="F77" s="2329"/>
      <c r="G77" s="2306"/>
      <c r="H77" s="2306"/>
      <c r="I77" s="2306"/>
      <c r="J77" s="2306"/>
      <c r="K77" s="2306"/>
    </row>
    <row r="78" spans="1:11" ht="10.5" customHeight="1">
      <c r="A78" s="2330" t="s">
        <v>70</v>
      </c>
      <c r="B78" s="2330"/>
      <c r="C78" s="2330"/>
      <c r="D78" s="2330"/>
      <c r="E78" s="2330"/>
      <c r="F78" s="2330"/>
      <c r="G78" s="2330"/>
      <c r="H78" s="2330"/>
      <c r="I78" s="2330"/>
      <c r="J78" s="2330"/>
      <c r="K78" s="2330"/>
    </row>
    <row r="79" spans="1:11" ht="10.5" customHeight="1">
      <c r="A79" s="2330" t="s">
        <v>71</v>
      </c>
      <c r="B79" s="2330"/>
      <c r="C79" s="2330"/>
      <c r="D79" s="2330"/>
      <c r="E79" s="2330"/>
      <c r="F79" s="2330"/>
      <c r="G79" s="2330"/>
      <c r="H79" s="2330"/>
      <c r="I79" s="2330"/>
      <c r="J79" s="2330"/>
      <c r="K79" s="2330"/>
    </row>
    <row r="80" spans="1:11" ht="10.5" customHeight="1" thickBot="1">
      <c r="A80" s="2324" t="s">
        <v>62</v>
      </c>
      <c r="B80" s="2324"/>
      <c r="C80" s="2324"/>
      <c r="D80" s="2325"/>
      <c r="E80" s="2325"/>
      <c r="F80" s="2325"/>
      <c r="G80" s="2324" t="s">
        <v>60</v>
      </c>
      <c r="H80" s="2324"/>
      <c r="I80" s="2324"/>
      <c r="J80" s="2325"/>
      <c r="K80" s="2325"/>
    </row>
    <row r="81" spans="1:11" s="332" customFormat="1" ht="9.75" customHeight="1" thickBot="1">
      <c r="A81" s="433" t="s">
        <v>398</v>
      </c>
      <c r="B81" s="447" t="s">
        <v>399</v>
      </c>
      <c r="C81" s="433" t="s">
        <v>400</v>
      </c>
      <c r="D81" s="447" t="s">
        <v>401</v>
      </c>
      <c r="E81" s="431" t="s">
        <v>696</v>
      </c>
      <c r="F81" s="396"/>
      <c r="G81" s="433" t="s">
        <v>398</v>
      </c>
      <c r="H81" s="433" t="s">
        <v>399</v>
      </c>
      <c r="I81" s="447" t="s">
        <v>400</v>
      </c>
      <c r="J81" s="433" t="s">
        <v>401</v>
      </c>
      <c r="K81" s="448" t="s">
        <v>939</v>
      </c>
    </row>
    <row r="82" spans="1:11" ht="9.75" customHeight="1">
      <c r="A82" s="417" t="s">
        <v>1804</v>
      </c>
      <c r="B82" s="449">
        <v>10</v>
      </c>
      <c r="C82" s="450">
        <v>5</v>
      </c>
      <c r="D82" s="15">
        <v>0.155</v>
      </c>
      <c r="E82" s="436">
        <v>30984</v>
      </c>
      <c r="F82" s="110"/>
      <c r="G82" s="417" t="s">
        <v>1805</v>
      </c>
      <c r="H82" s="449">
        <v>10</v>
      </c>
      <c r="I82" s="450">
        <v>5</v>
      </c>
      <c r="J82" s="15">
        <v>0.309</v>
      </c>
      <c r="K82" s="84">
        <v>30006</v>
      </c>
    </row>
    <row r="83" spans="1:11" ht="9.75" customHeight="1">
      <c r="A83" s="421" t="s">
        <v>2041</v>
      </c>
      <c r="B83" s="451">
        <v>12</v>
      </c>
      <c r="C83" s="452">
        <v>7</v>
      </c>
      <c r="D83" s="16">
        <v>0.29</v>
      </c>
      <c r="E83" s="440">
        <v>38994</v>
      </c>
      <c r="F83" s="110"/>
      <c r="G83" s="421" t="s">
        <v>1808</v>
      </c>
      <c r="H83" s="451">
        <v>20</v>
      </c>
      <c r="I83" s="452">
        <v>5</v>
      </c>
      <c r="J83" s="16">
        <v>0.5</v>
      </c>
      <c r="K83" s="85">
        <v>31890</v>
      </c>
    </row>
    <row r="84" spans="1:11" ht="9.75" customHeight="1">
      <c r="A84" s="421" t="s">
        <v>1809</v>
      </c>
      <c r="B84" s="451">
        <v>20</v>
      </c>
      <c r="C84" s="452">
        <v>6</v>
      </c>
      <c r="D84" s="16">
        <v>0.87</v>
      </c>
      <c r="E84" s="440">
        <v>47924</v>
      </c>
      <c r="F84" s="110"/>
      <c r="G84" s="421" t="s">
        <v>1810</v>
      </c>
      <c r="H84" s="451">
        <v>20</v>
      </c>
      <c r="I84" s="452">
        <v>6.5</v>
      </c>
      <c r="J84" s="16">
        <v>0.546</v>
      </c>
      <c r="K84" s="85">
        <v>31393</v>
      </c>
    </row>
    <row r="85" spans="1:11" ht="9.75" customHeight="1" thickBot="1">
      <c r="A85" s="426" t="s">
        <v>1811</v>
      </c>
      <c r="B85" s="453">
        <v>32</v>
      </c>
      <c r="C85" s="454">
        <v>7</v>
      </c>
      <c r="D85" s="17">
        <v>0.85</v>
      </c>
      <c r="E85" s="444">
        <v>57286</v>
      </c>
      <c r="F85" s="110"/>
      <c r="G85" s="426" t="s">
        <v>1812</v>
      </c>
      <c r="H85" s="453">
        <v>30</v>
      </c>
      <c r="I85" s="454">
        <v>7</v>
      </c>
      <c r="J85" s="17">
        <v>0.403</v>
      </c>
      <c r="K85" s="455">
        <v>38650</v>
      </c>
    </row>
    <row r="87" spans="1:11" ht="10.5" customHeight="1">
      <c r="A87" s="456">
        <v>40612</v>
      </c>
      <c r="B87" s="457"/>
      <c r="C87" s="457"/>
      <c r="D87" s="457"/>
      <c r="E87" s="458"/>
      <c r="F87" s="109"/>
      <c r="G87" s="459"/>
      <c r="H87" s="457"/>
      <c r="I87" s="457"/>
      <c r="J87" s="457"/>
      <c r="K87" s="115" t="s">
        <v>627</v>
      </c>
    </row>
    <row r="88" spans="1:11" s="96" customFormat="1" ht="9" customHeight="1">
      <c r="A88" s="456"/>
      <c r="B88" s="457"/>
      <c r="C88" s="457"/>
      <c r="D88" s="457"/>
      <c r="E88" s="458"/>
      <c r="F88" s="109"/>
      <c r="G88" s="459"/>
      <c r="H88" s="457"/>
      <c r="I88" s="457"/>
      <c r="J88" s="457"/>
      <c r="K88" s="115"/>
    </row>
    <row r="90" spans="1:11" ht="9" customHeight="1">
      <c r="A90" s="80"/>
      <c r="B90" s="293"/>
      <c r="C90" s="293"/>
      <c r="D90" s="293"/>
      <c r="E90" s="460"/>
      <c r="F90" s="110"/>
      <c r="G90" s="303"/>
      <c r="H90" s="293"/>
      <c r="I90" s="293"/>
      <c r="J90" s="293"/>
      <c r="K90" s="66"/>
    </row>
    <row r="91" spans="1:11" ht="9" customHeight="1">
      <c r="A91" s="456"/>
      <c r="B91" s="457"/>
      <c r="C91" s="457"/>
      <c r="D91" s="457"/>
      <c r="E91" s="458"/>
      <c r="F91" s="461"/>
      <c r="G91" s="459"/>
      <c r="H91" s="457"/>
      <c r="I91" s="457"/>
      <c r="J91" s="457"/>
      <c r="K91" s="115"/>
    </row>
    <row r="92" spans="1:11" ht="9" customHeight="1">
      <c r="A92" s="52"/>
      <c r="B92" s="73"/>
      <c r="C92" s="78"/>
      <c r="D92" s="2324"/>
      <c r="E92" s="2324"/>
      <c r="F92" s="2324"/>
      <c r="G92" s="2325"/>
      <c r="H92" s="2325"/>
      <c r="I92" s="2325"/>
      <c r="J92" s="73"/>
      <c r="K92" s="48"/>
    </row>
    <row r="93" spans="1:11" ht="9" customHeight="1">
      <c r="A93" s="2323"/>
      <c r="B93" s="2323"/>
      <c r="C93" s="2323"/>
      <c r="D93" s="2323"/>
      <c r="E93" s="2323"/>
      <c r="F93" s="2323"/>
      <c r="G93" s="2323"/>
      <c r="H93" s="2323"/>
      <c r="I93" s="2323"/>
      <c r="J93" s="2323"/>
      <c r="K93" s="2323"/>
    </row>
    <row r="94" spans="1:11" ht="9" customHeight="1">
      <c r="A94" s="2323"/>
      <c r="B94" s="2323"/>
      <c r="C94" s="2323"/>
      <c r="D94" s="2323"/>
      <c r="E94" s="2323"/>
      <c r="F94" s="2323"/>
      <c r="G94" s="2323"/>
      <c r="H94" s="2323"/>
      <c r="I94" s="2323"/>
      <c r="J94" s="2323"/>
      <c r="K94" s="2323"/>
    </row>
    <row r="95" spans="1:11" ht="9" customHeight="1">
      <c r="A95" s="2324"/>
      <c r="B95" s="2324"/>
      <c r="C95" s="2324"/>
      <c r="D95" s="2325"/>
      <c r="E95" s="2325"/>
      <c r="F95" s="2325"/>
      <c r="G95" s="2324"/>
      <c r="H95" s="2324"/>
      <c r="I95" s="2324"/>
      <c r="J95" s="2325"/>
      <c r="K95" s="2325"/>
    </row>
    <row r="96" spans="1:11" ht="9" customHeight="1">
      <c r="A96" s="68"/>
      <c r="B96" s="68"/>
      <c r="C96" s="68"/>
      <c r="D96" s="68"/>
      <c r="E96" s="74"/>
      <c r="F96" s="68"/>
      <c r="G96" s="68"/>
      <c r="H96" s="68"/>
      <c r="I96" s="68"/>
      <c r="J96" s="68"/>
      <c r="K96" s="74"/>
    </row>
    <row r="97" spans="1:11" ht="9" customHeight="1">
      <c r="A97" s="80"/>
      <c r="B97" s="462"/>
      <c r="C97" s="462"/>
      <c r="D97" s="77"/>
      <c r="E97" s="460"/>
      <c r="F97" s="80"/>
      <c r="G97" s="80"/>
      <c r="H97" s="462"/>
      <c r="I97" s="462"/>
      <c r="J97" s="77"/>
      <c r="K97" s="66"/>
    </row>
    <row r="98" spans="1:11" ht="9" customHeight="1">
      <c r="A98" s="80"/>
      <c r="B98" s="462"/>
      <c r="C98" s="462"/>
      <c r="D98" s="77"/>
      <c r="E98" s="460"/>
      <c r="F98" s="80"/>
      <c r="G98" s="80"/>
      <c r="H98" s="462"/>
      <c r="I98" s="462"/>
      <c r="J98" s="77"/>
      <c r="K98" s="66"/>
    </row>
    <row r="99" spans="1:11" ht="9" customHeight="1">
      <c r="A99" s="80"/>
      <c r="B99" s="462"/>
      <c r="C99" s="462"/>
      <c r="D99" s="77"/>
      <c r="E99" s="460"/>
      <c r="F99" s="80"/>
      <c r="G99" s="80"/>
      <c r="H99" s="462"/>
      <c r="I99" s="462"/>
      <c r="J99" s="77"/>
      <c r="K99" s="66"/>
    </row>
    <row r="100" spans="1:11" ht="12" customHeight="1">
      <c r="A100" s="80"/>
      <c r="B100" s="462"/>
      <c r="C100" s="462"/>
      <c r="D100" s="77"/>
      <c r="E100" s="460"/>
      <c r="F100" s="80"/>
      <c r="G100" s="80"/>
      <c r="H100" s="462"/>
      <c r="I100" s="462"/>
      <c r="J100" s="77"/>
      <c r="K100" s="66"/>
    </row>
    <row r="101" spans="1:11" s="96" customFormat="1" ht="9" customHeight="1">
      <c r="A101" s="52"/>
      <c r="B101" s="52"/>
      <c r="C101" s="52"/>
      <c r="D101" s="2324"/>
      <c r="E101" s="2324"/>
      <c r="F101" s="2324"/>
      <c r="G101" s="2325"/>
      <c r="H101" s="2325"/>
      <c r="I101" s="2325"/>
      <c r="J101" s="52"/>
      <c r="K101" s="74"/>
    </row>
    <row r="102" spans="1:11" ht="14.25" customHeight="1">
      <c r="A102" s="49"/>
      <c r="B102" s="49"/>
      <c r="C102" s="49"/>
      <c r="D102" s="49"/>
      <c r="E102" s="48"/>
      <c r="F102" s="73"/>
      <c r="G102" s="49"/>
      <c r="H102" s="49"/>
      <c r="I102" s="49"/>
      <c r="J102" s="49"/>
      <c r="K102" s="48"/>
    </row>
    <row r="103" spans="1:11" ht="9" customHeight="1">
      <c r="A103" s="68"/>
      <c r="B103" s="68"/>
      <c r="C103" s="68"/>
      <c r="D103" s="68"/>
      <c r="E103" s="74"/>
      <c r="F103" s="68"/>
      <c r="G103" s="68"/>
      <c r="H103" s="68"/>
      <c r="I103" s="68"/>
      <c r="J103" s="68"/>
      <c r="K103" s="74"/>
    </row>
    <row r="104" spans="1:11" ht="9" customHeight="1">
      <c r="A104" s="80"/>
      <c r="B104" s="77"/>
      <c r="C104" s="77"/>
      <c r="D104" s="77"/>
      <c r="E104" s="463"/>
      <c r="F104" s="461"/>
      <c r="G104" s="80"/>
      <c r="H104" s="77"/>
      <c r="I104" s="77"/>
      <c r="J104" s="77"/>
      <c r="K104" s="66"/>
    </row>
    <row r="105" spans="1:11" ht="9" customHeight="1">
      <c r="A105" s="80"/>
      <c r="B105" s="77"/>
      <c r="C105" s="77"/>
      <c r="D105" s="77"/>
      <c r="E105" s="66"/>
      <c r="F105" s="461"/>
      <c r="G105" s="80"/>
      <c r="H105" s="77"/>
      <c r="I105" s="77"/>
      <c r="J105" s="77"/>
      <c r="K105" s="66"/>
    </row>
    <row r="106" spans="1:11" ht="9" customHeight="1">
      <c r="A106" s="80"/>
      <c r="B106" s="77"/>
      <c r="C106" s="77"/>
      <c r="D106" s="77"/>
      <c r="E106" s="66"/>
      <c r="F106" s="461"/>
      <c r="G106" s="80"/>
      <c r="H106" s="77"/>
      <c r="I106" s="77"/>
      <c r="J106" s="77"/>
      <c r="K106" s="66"/>
    </row>
    <row r="107" spans="1:11" ht="11.25" customHeight="1">
      <c r="A107" s="80"/>
      <c r="B107" s="77"/>
      <c r="C107" s="77"/>
      <c r="D107" s="77"/>
      <c r="E107" s="464"/>
      <c r="F107" s="461"/>
      <c r="G107" s="80"/>
      <c r="H107" s="77"/>
      <c r="I107" s="77"/>
      <c r="J107" s="77"/>
      <c r="K107" s="66"/>
    </row>
    <row r="108" spans="1:11" s="96" customFormat="1" ht="9" customHeight="1">
      <c r="A108" s="80"/>
      <c r="B108" s="77"/>
      <c r="C108" s="77"/>
      <c r="D108" s="77"/>
      <c r="E108" s="66"/>
      <c r="F108" s="461"/>
      <c r="G108" s="80"/>
      <c r="H108" s="77"/>
      <c r="I108" s="77"/>
      <c r="J108" s="77"/>
      <c r="K108" s="66"/>
    </row>
    <row r="109" spans="1:11" ht="9" customHeight="1">
      <c r="A109" s="80"/>
      <c r="B109" s="77"/>
      <c r="C109" s="77"/>
      <c r="D109" s="77"/>
      <c r="E109" s="66"/>
      <c r="F109" s="461"/>
      <c r="G109" s="80"/>
      <c r="H109" s="77"/>
      <c r="I109" s="77"/>
      <c r="J109" s="77"/>
      <c r="K109" s="66"/>
    </row>
    <row r="110" spans="1:11" ht="9" customHeight="1">
      <c r="A110" s="80"/>
      <c r="B110" s="77"/>
      <c r="C110" s="77"/>
      <c r="D110" s="77"/>
      <c r="E110" s="66"/>
      <c r="F110" s="461"/>
      <c r="G110" s="80"/>
      <c r="H110" s="77"/>
      <c r="I110" s="77"/>
      <c r="J110" s="77"/>
      <c r="K110" s="66"/>
    </row>
    <row r="111" spans="1:11" ht="9" customHeight="1">
      <c r="A111" s="80"/>
      <c r="B111" s="77"/>
      <c r="C111" s="77"/>
      <c r="D111" s="77"/>
      <c r="E111" s="66"/>
      <c r="F111" s="461"/>
      <c r="G111" s="80"/>
      <c r="H111" s="77"/>
      <c r="I111" s="77"/>
      <c r="J111" s="77"/>
      <c r="K111" s="66"/>
    </row>
    <row r="112" spans="1:11" ht="9" customHeight="1">
      <c r="A112" s="80"/>
      <c r="B112" s="77"/>
      <c r="C112" s="77"/>
      <c r="D112" s="77"/>
      <c r="E112" s="66"/>
      <c r="F112" s="461"/>
      <c r="G112" s="80"/>
      <c r="H112" s="77"/>
      <c r="I112" s="77"/>
      <c r="J112" s="77"/>
      <c r="K112" s="66"/>
    </row>
    <row r="113" spans="1:11" ht="9" customHeight="1">
      <c r="A113" s="80"/>
      <c r="B113" s="77"/>
      <c r="C113" s="77"/>
      <c r="D113" s="77"/>
      <c r="E113" s="465"/>
      <c r="F113" s="461"/>
      <c r="G113" s="80"/>
      <c r="H113" s="77"/>
      <c r="I113" s="77"/>
      <c r="J113" s="77"/>
      <c r="K113" s="66"/>
    </row>
    <row r="114" spans="1:11" ht="9" customHeight="1">
      <c r="A114" s="80"/>
      <c r="B114" s="77"/>
      <c r="C114" s="77"/>
      <c r="D114" s="77"/>
      <c r="E114" s="465"/>
      <c r="F114" s="461"/>
      <c r="G114" s="80"/>
      <c r="H114" s="77"/>
      <c r="I114" s="77"/>
      <c r="J114" s="77"/>
      <c r="K114" s="66"/>
    </row>
    <row r="115" spans="1:11" ht="9" customHeight="1">
      <c r="A115" s="2323"/>
      <c r="B115" s="2331"/>
      <c r="C115" s="2331"/>
      <c r="D115" s="2331"/>
      <c r="E115" s="2331"/>
      <c r="F115" s="2331"/>
      <c r="G115" s="2331"/>
      <c r="H115" s="2331"/>
      <c r="I115" s="2331"/>
      <c r="J115" s="2331"/>
      <c r="K115" s="2331"/>
    </row>
    <row r="116" spans="1:11" ht="12.75" customHeight="1">
      <c r="A116" s="78"/>
      <c r="B116" s="78"/>
      <c r="C116" s="78"/>
      <c r="D116" s="297"/>
      <c r="E116" s="466"/>
      <c r="F116" s="78"/>
      <c r="G116" s="78"/>
      <c r="H116" s="78"/>
      <c r="I116" s="78"/>
      <c r="J116" s="78"/>
      <c r="K116" s="466"/>
    </row>
    <row r="117" spans="1:11" ht="9" customHeight="1">
      <c r="A117" s="68"/>
      <c r="B117" s="68"/>
      <c r="C117" s="68"/>
      <c r="D117" s="68"/>
      <c r="E117" s="74"/>
      <c r="F117" s="68"/>
      <c r="G117" s="68"/>
      <c r="H117" s="68"/>
      <c r="I117" s="68"/>
      <c r="J117" s="68"/>
      <c r="K117" s="74"/>
    </row>
    <row r="118" spans="1:11" ht="9" customHeight="1">
      <c r="A118" s="317"/>
      <c r="B118" s="77"/>
      <c r="C118" s="77"/>
      <c r="D118" s="77"/>
      <c r="E118" s="66"/>
      <c r="F118" s="52"/>
      <c r="G118" s="317"/>
      <c r="H118" s="77"/>
      <c r="I118" s="77"/>
      <c r="J118" s="77"/>
      <c r="K118" s="66"/>
    </row>
    <row r="119" spans="1:11" ht="9" customHeight="1">
      <c r="A119" s="317"/>
      <c r="B119" s="77"/>
      <c r="C119" s="77"/>
      <c r="D119" s="77"/>
      <c r="E119" s="66"/>
      <c r="F119" s="52"/>
      <c r="G119" s="317"/>
      <c r="H119" s="77"/>
      <c r="I119" s="77"/>
      <c r="J119" s="77"/>
      <c r="K119" s="66"/>
    </row>
    <row r="120" spans="1:11" ht="9" customHeight="1">
      <c r="A120" s="311"/>
      <c r="B120" s="77"/>
      <c r="C120" s="77"/>
      <c r="D120" s="77"/>
      <c r="E120" s="66"/>
      <c r="F120" s="52"/>
      <c r="G120" s="317"/>
      <c r="H120" s="77"/>
      <c r="I120" s="77"/>
      <c r="J120" s="77"/>
      <c r="K120" s="66"/>
    </row>
    <row r="121" spans="1:14" ht="9" customHeight="1">
      <c r="A121" s="311"/>
      <c r="B121" s="77"/>
      <c r="C121" s="77"/>
      <c r="D121" s="77"/>
      <c r="E121" s="66"/>
      <c r="F121" s="68"/>
      <c r="G121" s="317"/>
      <c r="H121" s="66"/>
      <c r="I121" s="77"/>
      <c r="J121" s="77"/>
      <c r="K121" s="66"/>
      <c r="L121" s="96"/>
      <c r="M121" s="96"/>
      <c r="N121" s="96"/>
    </row>
    <row r="122" spans="1:11" s="96" customFormat="1" ht="10.5" customHeight="1">
      <c r="A122" s="311"/>
      <c r="B122" s="77"/>
      <c r="C122" s="77"/>
      <c r="D122" s="77"/>
      <c r="E122" s="66"/>
      <c r="F122" s="52"/>
      <c r="G122" s="317"/>
      <c r="H122" s="77"/>
      <c r="I122" s="77"/>
      <c r="J122" s="77"/>
      <c r="K122" s="66"/>
    </row>
    <row r="123" spans="1:11" ht="9" customHeight="1">
      <c r="A123" s="311"/>
      <c r="B123" s="77"/>
      <c r="C123" s="77"/>
      <c r="D123" s="467"/>
      <c r="E123" s="66"/>
      <c r="F123" s="52"/>
      <c r="G123" s="317"/>
      <c r="H123" s="77"/>
      <c r="I123" s="77"/>
      <c r="J123" s="468"/>
      <c r="K123" s="66"/>
    </row>
    <row r="124" spans="1:11" ht="9" customHeight="1">
      <c r="A124" s="311"/>
      <c r="B124" s="77"/>
      <c r="C124" s="77"/>
      <c r="D124" s="77"/>
      <c r="E124" s="66"/>
      <c r="F124" s="52"/>
      <c r="G124" s="317"/>
      <c r="H124" s="77"/>
      <c r="I124" s="77"/>
      <c r="J124" s="77"/>
      <c r="K124" s="66"/>
    </row>
    <row r="125" spans="1:11" ht="9" customHeight="1">
      <c r="A125" s="311"/>
      <c r="B125" s="77"/>
      <c r="C125" s="77"/>
      <c r="D125" s="77"/>
      <c r="E125" s="66"/>
      <c r="F125" s="52"/>
      <c r="G125" s="317"/>
      <c r="H125" s="77"/>
      <c r="I125" s="77"/>
      <c r="J125" s="77"/>
      <c r="K125" s="66"/>
    </row>
    <row r="126" spans="1:11" ht="9" customHeight="1">
      <c r="A126" s="311"/>
      <c r="B126" s="77"/>
      <c r="C126" s="77"/>
      <c r="D126" s="77"/>
      <c r="E126" s="66"/>
      <c r="F126" s="52"/>
      <c r="G126" s="317"/>
      <c r="H126" s="77"/>
      <c r="I126" s="77"/>
      <c r="J126" s="77"/>
      <c r="K126" s="66"/>
    </row>
    <row r="127" spans="1:11" ht="9" customHeight="1">
      <c r="A127" s="311"/>
      <c r="B127" s="77"/>
      <c r="C127" s="77"/>
      <c r="D127" s="77"/>
      <c r="E127" s="66"/>
      <c r="F127" s="52"/>
      <c r="G127" s="317"/>
      <c r="H127" s="77"/>
      <c r="I127" s="77"/>
      <c r="J127" s="77"/>
      <c r="K127" s="66"/>
    </row>
    <row r="128" spans="1:11" ht="9" customHeight="1">
      <c r="A128" s="311"/>
      <c r="B128" s="77"/>
      <c r="C128" s="77"/>
      <c r="D128" s="77"/>
      <c r="E128" s="66"/>
      <c r="F128" s="52"/>
      <c r="G128" s="80"/>
      <c r="H128" s="77"/>
      <c r="I128" s="77"/>
      <c r="J128" s="77"/>
      <c r="K128" s="66"/>
    </row>
    <row r="129" spans="1:11" ht="9" customHeight="1">
      <c r="A129" s="311"/>
      <c r="B129" s="77"/>
      <c r="C129" s="77"/>
      <c r="D129" s="468"/>
      <c r="E129" s="66"/>
      <c r="F129" s="52"/>
      <c r="G129" s="317"/>
      <c r="H129" s="77"/>
      <c r="I129" s="77"/>
      <c r="J129" s="77"/>
      <c r="K129" s="66"/>
    </row>
    <row r="130" spans="1:11" ht="9" customHeight="1">
      <c r="A130" s="311"/>
      <c r="B130" s="77"/>
      <c r="C130" s="77"/>
      <c r="D130" s="77"/>
      <c r="E130" s="66"/>
      <c r="F130" s="52"/>
      <c r="G130" s="317"/>
      <c r="H130" s="77"/>
      <c r="I130" s="77"/>
      <c r="J130" s="77"/>
      <c r="K130" s="66"/>
    </row>
    <row r="131" spans="1:11" ht="42" customHeight="1">
      <c r="A131" s="2321"/>
      <c r="B131" s="2321"/>
      <c r="C131" s="2321"/>
      <c r="D131" s="2321"/>
      <c r="E131" s="2321"/>
      <c r="F131" s="2321"/>
      <c r="G131" s="2321"/>
      <c r="H131" s="2321"/>
      <c r="I131" s="2321"/>
      <c r="J131" s="2321"/>
      <c r="K131" s="2321"/>
    </row>
    <row r="132" spans="1:11" ht="9.75" customHeight="1">
      <c r="A132" s="469"/>
      <c r="B132" s="469"/>
      <c r="C132" s="469"/>
      <c r="D132" s="61"/>
      <c r="E132" s="470"/>
      <c r="F132" s="469"/>
      <c r="G132" s="469"/>
      <c r="H132" s="469"/>
      <c r="I132" s="469"/>
      <c r="J132" s="469"/>
      <c r="K132" s="470"/>
    </row>
    <row r="133" spans="1:15" ht="9.75" customHeight="1">
      <c r="A133" s="282"/>
      <c r="B133" s="282"/>
      <c r="C133" s="283"/>
      <c r="D133" s="283"/>
      <c r="E133" s="283"/>
      <c r="F133" s="283"/>
      <c r="G133" s="282"/>
      <c r="H133" s="285"/>
      <c r="I133" s="469"/>
      <c r="J133" s="469"/>
      <c r="K133" s="61"/>
      <c r="L133" s="90"/>
      <c r="M133" s="90"/>
      <c r="N133" s="90"/>
      <c r="O133" s="90"/>
    </row>
    <row r="134" spans="1:15" ht="9.75" customHeight="1">
      <c r="A134" s="73"/>
      <c r="B134" s="286"/>
      <c r="C134" s="77"/>
      <c r="D134" s="77"/>
      <c r="E134" s="287"/>
      <c r="F134" s="288"/>
      <c r="G134" s="289"/>
      <c r="H134" s="295"/>
      <c r="I134" s="469"/>
      <c r="J134" s="90"/>
      <c r="K134" s="470"/>
      <c r="L134" s="90"/>
      <c r="M134" s="90"/>
      <c r="N134" s="90"/>
      <c r="O134" s="90"/>
    </row>
    <row r="135" spans="1:15" ht="9.75" customHeight="1">
      <c r="A135" s="52"/>
      <c r="B135" s="291"/>
      <c r="C135" s="107"/>
      <c r="D135" s="107"/>
      <c r="E135" s="287"/>
      <c r="F135" s="288"/>
      <c r="G135" s="289"/>
      <c r="H135" s="295"/>
      <c r="I135" s="90"/>
      <c r="J135" s="90"/>
      <c r="K135" s="61"/>
      <c r="L135" s="90"/>
      <c r="M135" s="90"/>
      <c r="N135" s="90"/>
      <c r="O135" s="90"/>
    </row>
    <row r="136" spans="1:15" ht="9.75" customHeight="1">
      <c r="A136" s="80"/>
      <c r="B136" s="293"/>
      <c r="C136" s="294"/>
      <c r="D136" s="294"/>
      <c r="E136" s="287"/>
      <c r="F136" s="288"/>
      <c r="G136" s="289"/>
      <c r="H136" s="295"/>
      <c r="I136" s="90"/>
      <c r="J136" s="90"/>
      <c r="K136" s="61"/>
      <c r="L136" s="90"/>
      <c r="M136" s="90"/>
      <c r="N136" s="90"/>
      <c r="O136" s="90"/>
    </row>
    <row r="137" spans="1:15" ht="9.75" customHeight="1">
      <c r="A137" s="80"/>
      <c r="B137" s="294"/>
      <c r="C137" s="294"/>
      <c r="D137" s="294"/>
      <c r="E137" s="287"/>
      <c r="F137" s="288"/>
      <c r="G137" s="289"/>
      <c r="H137" s="295"/>
      <c r="I137" s="90"/>
      <c r="J137" s="90"/>
      <c r="K137" s="61"/>
      <c r="L137" s="90"/>
      <c r="M137" s="90"/>
      <c r="N137" s="90"/>
      <c r="O137" s="90"/>
    </row>
    <row r="138" spans="1:15" ht="9" customHeight="1">
      <c r="A138" s="80"/>
      <c r="B138" s="294"/>
      <c r="C138" s="294"/>
      <c r="D138" s="294"/>
      <c r="E138" s="287"/>
      <c r="F138" s="288"/>
      <c r="G138" s="289"/>
      <c r="H138" s="295"/>
      <c r="I138" s="90"/>
      <c r="J138" s="90"/>
      <c r="K138" s="61"/>
      <c r="L138" s="90"/>
      <c r="M138" s="90"/>
      <c r="N138" s="100"/>
      <c r="O138" s="90"/>
    </row>
    <row r="139" spans="1:15" ht="9" customHeight="1">
      <c r="A139" s="80"/>
      <c r="B139" s="294"/>
      <c r="C139" s="294"/>
      <c r="D139" s="294"/>
      <c r="E139" s="287"/>
      <c r="F139" s="288"/>
      <c r="G139" s="289"/>
      <c r="H139" s="295"/>
      <c r="I139" s="90"/>
      <c r="J139" s="90"/>
      <c r="K139" s="61"/>
      <c r="L139" s="90"/>
      <c r="M139" s="90"/>
      <c r="N139" s="90"/>
      <c r="O139" s="90"/>
    </row>
    <row r="140" spans="1:15" ht="9" customHeight="1">
      <c r="A140" s="80"/>
      <c r="B140" s="294"/>
      <c r="C140" s="294"/>
      <c r="D140" s="294"/>
      <c r="E140" s="287"/>
      <c r="F140" s="288"/>
      <c r="G140" s="289"/>
      <c r="H140" s="295"/>
      <c r="I140" s="90"/>
      <c r="J140" s="90"/>
      <c r="K140" s="61"/>
      <c r="L140" s="90"/>
      <c r="M140" s="90"/>
      <c r="N140" s="90"/>
      <c r="O140" s="90"/>
    </row>
    <row r="141" spans="1:15" ht="9" customHeight="1">
      <c r="A141" s="80"/>
      <c r="B141" s="294"/>
      <c r="C141" s="294"/>
      <c r="D141" s="294"/>
      <c r="E141" s="287"/>
      <c r="F141" s="288"/>
      <c r="G141" s="289"/>
      <c r="H141" s="295"/>
      <c r="I141" s="90"/>
      <c r="J141" s="90"/>
      <c r="K141" s="61"/>
      <c r="L141" s="90"/>
      <c r="M141" s="90"/>
      <c r="N141" s="90"/>
      <c r="O141" s="90"/>
    </row>
    <row r="142" spans="1:15" ht="9" customHeight="1">
      <c r="A142" s="80"/>
      <c r="B142" s="294"/>
      <c r="C142" s="294"/>
      <c r="D142" s="294"/>
      <c r="E142" s="287"/>
      <c r="F142" s="288"/>
      <c r="G142" s="289"/>
      <c r="H142" s="295"/>
      <c r="I142" s="90"/>
      <c r="J142" s="90"/>
      <c r="K142" s="61"/>
      <c r="L142" s="90"/>
      <c r="M142" s="90"/>
      <c r="N142" s="90"/>
      <c r="O142" s="90"/>
    </row>
    <row r="143" spans="1:15" ht="9" customHeight="1">
      <c r="A143" s="80"/>
      <c r="B143" s="294"/>
      <c r="C143" s="80"/>
      <c r="D143" s="80"/>
      <c r="E143" s="287"/>
      <c r="F143" s="288"/>
      <c r="G143" s="289"/>
      <c r="H143" s="295"/>
      <c r="I143" s="90"/>
      <c r="J143" s="90"/>
      <c r="K143" s="61"/>
      <c r="L143" s="90"/>
      <c r="M143" s="90"/>
      <c r="N143" s="90"/>
      <c r="O143" s="90"/>
    </row>
    <row r="144" spans="1:15" ht="9" customHeight="1">
      <c r="A144" s="80"/>
      <c r="B144" s="294"/>
      <c r="C144" s="80"/>
      <c r="D144" s="80"/>
      <c r="E144" s="287"/>
      <c r="F144" s="288"/>
      <c r="G144" s="289"/>
      <c r="H144" s="295"/>
      <c r="I144" s="90"/>
      <c r="J144" s="90"/>
      <c r="K144" s="61"/>
      <c r="L144" s="90"/>
      <c r="M144" s="90"/>
      <c r="N144" s="90"/>
      <c r="O144" s="90"/>
    </row>
    <row r="145" spans="1:15" ht="9" customHeight="1">
      <c r="A145" s="80"/>
      <c r="B145" s="294"/>
      <c r="C145" s="80"/>
      <c r="D145" s="80"/>
      <c r="E145" s="287"/>
      <c r="F145" s="288"/>
      <c r="G145" s="289"/>
      <c r="H145" s="295"/>
      <c r="I145" s="90"/>
      <c r="J145" s="90"/>
      <c r="K145" s="61"/>
      <c r="L145" s="90"/>
      <c r="M145" s="90"/>
      <c r="N145" s="90"/>
      <c r="O145" s="90"/>
    </row>
    <row r="146" spans="1:15" ht="9" customHeight="1">
      <c r="A146" s="80"/>
      <c r="B146" s="294"/>
      <c r="C146" s="296"/>
      <c r="D146" s="296"/>
      <c r="E146" s="287"/>
      <c r="F146" s="288"/>
      <c r="G146" s="80"/>
      <c r="H146" s="298"/>
      <c r="I146" s="90"/>
      <c r="J146" s="90"/>
      <c r="K146" s="61"/>
      <c r="L146" s="90"/>
      <c r="M146" s="90"/>
      <c r="N146" s="90"/>
      <c r="O146" s="90"/>
    </row>
    <row r="147" spans="1:15" ht="9" customHeight="1">
      <c r="A147" s="80"/>
      <c r="B147" s="294"/>
      <c r="C147" s="294"/>
      <c r="D147" s="294"/>
      <c r="E147" s="287"/>
      <c r="F147" s="288"/>
      <c r="G147" s="80"/>
      <c r="H147" s="298"/>
      <c r="I147" s="90"/>
      <c r="J147" s="90"/>
      <c r="K147" s="61"/>
      <c r="L147" s="90"/>
      <c r="M147" s="90"/>
      <c r="N147" s="90"/>
      <c r="O147" s="90"/>
    </row>
    <row r="148" spans="1:15" ht="9" customHeight="1">
      <c r="A148" s="80"/>
      <c r="B148" s="294"/>
      <c r="C148" s="294"/>
      <c r="D148" s="294"/>
      <c r="E148" s="287"/>
      <c r="F148" s="288"/>
      <c r="G148" s="299"/>
      <c r="H148" s="285"/>
      <c r="I148" s="90"/>
      <c r="J148" s="90"/>
      <c r="K148" s="61"/>
      <c r="L148" s="90"/>
      <c r="M148" s="90"/>
      <c r="N148" s="90"/>
      <c r="O148" s="90"/>
    </row>
    <row r="149" spans="1:15" ht="9" customHeight="1">
      <c r="A149" s="80"/>
      <c r="B149" s="294"/>
      <c r="C149" s="294"/>
      <c r="D149" s="294"/>
      <c r="E149" s="287"/>
      <c r="F149" s="288"/>
      <c r="G149" s="80"/>
      <c r="H149" s="293"/>
      <c r="I149" s="90"/>
      <c r="J149" s="90"/>
      <c r="K149" s="61"/>
      <c r="L149" s="90"/>
      <c r="M149" s="90"/>
      <c r="N149" s="90"/>
      <c r="O149" s="90"/>
    </row>
    <row r="150" spans="1:15" ht="9" customHeight="1">
      <c r="A150" s="80"/>
      <c r="B150" s="293"/>
      <c r="C150" s="294"/>
      <c r="D150" s="294"/>
      <c r="E150" s="287"/>
      <c r="F150" s="288"/>
      <c r="G150" s="80"/>
      <c r="H150" s="293"/>
      <c r="I150" s="90"/>
      <c r="J150" s="90"/>
      <c r="K150" s="61"/>
      <c r="L150" s="90"/>
      <c r="M150" s="90"/>
      <c r="N150" s="90"/>
      <c r="O150" s="90"/>
    </row>
    <row r="151" spans="1:15" ht="9" customHeight="1">
      <c r="A151" s="471"/>
      <c r="B151" s="472"/>
      <c r="C151" s="294"/>
      <c r="D151" s="294"/>
      <c r="E151" s="287"/>
      <c r="F151" s="288"/>
      <c r="G151" s="80"/>
      <c r="H151" s="293"/>
      <c r="I151" s="90"/>
      <c r="J151" s="90"/>
      <c r="K151" s="61"/>
      <c r="L151" s="90"/>
      <c r="M151" s="90"/>
      <c r="N151" s="90"/>
      <c r="O151" s="90"/>
    </row>
    <row r="152" spans="1:15" ht="9" customHeight="1">
      <c r="A152" s="471"/>
      <c r="B152" s="472"/>
      <c r="C152" s="294"/>
      <c r="D152" s="294"/>
      <c r="E152" s="287"/>
      <c r="F152" s="288"/>
      <c r="G152" s="80"/>
      <c r="H152" s="293"/>
      <c r="I152" s="90"/>
      <c r="J152" s="90"/>
      <c r="K152" s="61"/>
      <c r="L152" s="90"/>
      <c r="M152" s="90"/>
      <c r="N152" s="90"/>
      <c r="O152" s="90"/>
    </row>
    <row r="153" spans="1:15" ht="9" customHeight="1">
      <c r="A153" s="471"/>
      <c r="B153" s="472"/>
      <c r="C153" s="294"/>
      <c r="D153" s="294"/>
      <c r="E153" s="287"/>
      <c r="F153" s="288"/>
      <c r="G153" s="80"/>
      <c r="H153" s="293"/>
      <c r="I153" s="90"/>
      <c r="J153" s="90"/>
      <c r="K153" s="61"/>
      <c r="L153" s="90"/>
      <c r="M153" s="90"/>
      <c r="N153" s="90"/>
      <c r="O153" s="90"/>
    </row>
    <row r="154" spans="1:15" ht="9" customHeight="1">
      <c r="A154" s="471"/>
      <c r="B154" s="472"/>
      <c r="C154" s="300"/>
      <c r="D154" s="300"/>
      <c r="E154" s="287"/>
      <c r="F154" s="288"/>
      <c r="G154" s="80"/>
      <c r="H154" s="293"/>
      <c r="I154" s="90"/>
      <c r="J154" s="90"/>
      <c r="K154" s="61"/>
      <c r="L154" s="90"/>
      <c r="M154" s="90"/>
      <c r="N154" s="90"/>
      <c r="O154" s="90"/>
    </row>
    <row r="155" spans="1:15" ht="9" customHeight="1">
      <c r="A155" s="471"/>
      <c r="B155" s="472"/>
      <c r="C155" s="294"/>
      <c r="D155" s="294"/>
      <c r="E155" s="287"/>
      <c r="F155" s="288"/>
      <c r="G155" s="80"/>
      <c r="H155" s="293"/>
      <c r="I155" s="90"/>
      <c r="J155" s="90"/>
      <c r="K155" s="61"/>
      <c r="L155" s="90"/>
      <c r="M155" s="90"/>
      <c r="N155" s="90"/>
      <c r="O155" s="90"/>
    </row>
    <row r="156" spans="1:15" ht="9" customHeight="1">
      <c r="A156" s="471"/>
      <c r="B156" s="472"/>
      <c r="C156" s="294"/>
      <c r="D156" s="294"/>
      <c r="E156" s="287"/>
      <c r="F156" s="288"/>
      <c r="G156" s="80"/>
      <c r="H156" s="293"/>
      <c r="I156" s="90"/>
      <c r="J156" s="90"/>
      <c r="K156" s="61"/>
      <c r="L156" s="90"/>
      <c r="M156" s="90"/>
      <c r="N156" s="90"/>
      <c r="O156" s="90"/>
    </row>
    <row r="157" spans="1:15" ht="9" customHeight="1">
      <c r="A157" s="471"/>
      <c r="B157" s="472"/>
      <c r="C157" s="80"/>
      <c r="D157" s="80"/>
      <c r="E157" s="287"/>
      <c r="F157" s="288"/>
      <c r="G157" s="80"/>
      <c r="H157" s="293"/>
      <c r="I157" s="90"/>
      <c r="J157" s="90"/>
      <c r="K157" s="61"/>
      <c r="L157" s="90"/>
      <c r="M157" s="90"/>
      <c r="N157" s="90"/>
      <c r="O157" s="90"/>
    </row>
    <row r="158" spans="1:15" ht="9" customHeight="1">
      <c r="A158" s="471"/>
      <c r="B158" s="473"/>
      <c r="C158" s="80"/>
      <c r="D158" s="80"/>
      <c r="E158" s="287"/>
      <c r="F158" s="288"/>
      <c r="G158" s="80"/>
      <c r="H158" s="293"/>
      <c r="I158" s="90"/>
      <c r="J158" s="90"/>
      <c r="K158" s="61"/>
      <c r="L158" s="90"/>
      <c r="M158" s="90"/>
      <c r="N158" s="90"/>
      <c r="O158" s="90"/>
    </row>
    <row r="159" spans="1:15" ht="9" customHeight="1">
      <c r="A159" s="471"/>
      <c r="B159" s="473"/>
      <c r="C159" s="80"/>
      <c r="D159" s="80"/>
      <c r="E159" s="287"/>
      <c r="F159" s="288"/>
      <c r="G159" s="80"/>
      <c r="H159" s="293"/>
      <c r="I159" s="90"/>
      <c r="J159" s="90"/>
      <c r="K159" s="61"/>
      <c r="L159" s="90"/>
      <c r="M159" s="90"/>
      <c r="N159" s="90"/>
      <c r="O159" s="90"/>
    </row>
    <row r="160" spans="1:15" ht="9" customHeight="1">
      <c r="A160" s="471"/>
      <c r="B160" s="473"/>
      <c r="C160" s="80"/>
      <c r="D160" s="80"/>
      <c r="E160" s="287"/>
      <c r="F160" s="288"/>
      <c r="G160" s="80"/>
      <c r="H160" s="293"/>
      <c r="I160" s="90"/>
      <c r="J160" s="90"/>
      <c r="K160" s="61"/>
      <c r="L160" s="90"/>
      <c r="M160" s="90"/>
      <c r="N160" s="90"/>
      <c r="O160" s="90"/>
    </row>
    <row r="161" spans="1:15" ht="9" customHeight="1">
      <c r="A161" s="471"/>
      <c r="B161" s="473"/>
      <c r="C161" s="80"/>
      <c r="D161" s="80"/>
      <c r="E161" s="287"/>
      <c r="F161" s="288"/>
      <c r="G161" s="106"/>
      <c r="H161" s="90"/>
      <c r="I161" s="90"/>
      <c r="J161" s="90"/>
      <c r="K161" s="61"/>
      <c r="L161" s="90"/>
      <c r="M161" s="90"/>
      <c r="N161" s="90"/>
      <c r="O161" s="90"/>
    </row>
    <row r="162" spans="1:15" ht="9" customHeight="1">
      <c r="A162" s="471"/>
      <c r="B162" s="473"/>
      <c r="C162" s="80"/>
      <c r="D162" s="80"/>
      <c r="E162" s="287"/>
      <c r="F162" s="288"/>
      <c r="G162" s="80"/>
      <c r="H162" s="293"/>
      <c r="I162" s="90"/>
      <c r="J162" s="90"/>
      <c r="K162" s="61"/>
      <c r="L162" s="90"/>
      <c r="M162" s="90"/>
      <c r="N162" s="90"/>
      <c r="O162" s="90"/>
    </row>
    <row r="163" spans="1:15" ht="9" customHeight="1">
      <c r="A163" s="471"/>
      <c r="B163" s="473"/>
      <c r="C163" s="80"/>
      <c r="D163" s="80"/>
      <c r="E163" s="287"/>
      <c r="F163" s="288"/>
      <c r="G163" s="80"/>
      <c r="H163" s="293"/>
      <c r="I163" s="90"/>
      <c r="J163" s="90"/>
      <c r="K163" s="61"/>
      <c r="L163" s="90"/>
      <c r="M163" s="90"/>
      <c r="N163" s="90"/>
      <c r="O163" s="90"/>
    </row>
    <row r="164" spans="1:15" ht="9" customHeight="1">
      <c r="A164" s="471"/>
      <c r="B164" s="473"/>
      <c r="C164" s="80"/>
      <c r="D164" s="80"/>
      <c r="E164" s="287"/>
      <c r="F164" s="288"/>
      <c r="G164" s="80"/>
      <c r="H164" s="294"/>
      <c r="I164" s="90"/>
      <c r="J164" s="90"/>
      <c r="K164" s="61"/>
      <c r="L164" s="90"/>
      <c r="M164" s="90"/>
      <c r="N164" s="90"/>
      <c r="O164" s="90"/>
    </row>
    <row r="165" spans="1:15" ht="9" customHeight="1">
      <c r="A165" s="52"/>
      <c r="B165" s="291"/>
      <c r="C165" s="80"/>
      <c r="D165" s="80"/>
      <c r="E165" s="287"/>
      <c r="F165" s="288"/>
      <c r="G165" s="80"/>
      <c r="H165" s="293"/>
      <c r="I165" s="90"/>
      <c r="J165" s="90"/>
      <c r="K165" s="61"/>
      <c r="L165" s="90"/>
      <c r="M165" s="90"/>
      <c r="N165" s="90"/>
      <c r="O165" s="90"/>
    </row>
    <row r="166" spans="1:15" ht="9" customHeight="1">
      <c r="A166" s="52"/>
      <c r="B166" s="291"/>
      <c r="C166" s="80"/>
      <c r="D166" s="80"/>
      <c r="E166" s="287"/>
      <c r="F166" s="288"/>
      <c r="G166" s="80"/>
      <c r="H166" s="293"/>
      <c r="I166" s="90"/>
      <c r="J166" s="90"/>
      <c r="K166" s="61"/>
      <c r="L166" s="90"/>
      <c r="M166" s="90"/>
      <c r="N166" s="90"/>
      <c r="O166" s="90"/>
    </row>
    <row r="167" spans="1:15" ht="9" customHeight="1">
      <c r="A167" s="52"/>
      <c r="B167" s="94"/>
      <c r="C167" s="77"/>
      <c r="D167" s="77"/>
      <c r="E167" s="287"/>
      <c r="F167" s="288"/>
      <c r="G167" s="80"/>
      <c r="H167" s="293"/>
      <c r="I167" s="90"/>
      <c r="J167" s="90"/>
      <c r="K167" s="61"/>
      <c r="L167" s="90"/>
      <c r="M167" s="90"/>
      <c r="N167" s="90"/>
      <c r="O167" s="90"/>
    </row>
    <row r="168" spans="1:15" ht="9" customHeight="1">
      <c r="A168" s="52"/>
      <c r="B168" s="291"/>
      <c r="C168" s="80"/>
      <c r="D168" s="80"/>
      <c r="E168" s="287"/>
      <c r="F168" s="288"/>
      <c r="G168" s="80"/>
      <c r="H168" s="293"/>
      <c r="I168" s="90"/>
      <c r="J168" s="90"/>
      <c r="K168" s="61"/>
      <c r="L168" s="90"/>
      <c r="M168" s="90"/>
      <c r="N168" s="90"/>
      <c r="O168" s="90"/>
    </row>
    <row r="169" spans="1:15" ht="9" customHeight="1">
      <c r="A169" s="52"/>
      <c r="B169" s="291"/>
      <c r="C169" s="301"/>
      <c r="D169" s="301"/>
      <c r="E169" s="287"/>
      <c r="F169" s="288"/>
      <c r="G169" s="80"/>
      <c r="H169" s="294"/>
      <c r="I169" s="90"/>
      <c r="J169" s="90"/>
      <c r="K169" s="61"/>
      <c r="L169" s="90"/>
      <c r="M169" s="90"/>
      <c r="N169" s="90"/>
      <c r="O169" s="90"/>
    </row>
    <row r="170" spans="1:15" ht="9" customHeight="1">
      <c r="A170" s="52"/>
      <c r="B170" s="291"/>
      <c r="C170" s="301"/>
      <c r="D170" s="301"/>
      <c r="E170" s="287"/>
      <c r="F170" s="288"/>
      <c r="G170" s="80"/>
      <c r="H170" s="294"/>
      <c r="I170" s="90"/>
      <c r="J170" s="90"/>
      <c r="K170" s="61"/>
      <c r="L170" s="90"/>
      <c r="M170" s="90"/>
      <c r="N170" s="90"/>
      <c r="O170" s="90"/>
    </row>
    <row r="171" spans="1:15" ht="9" customHeight="1">
      <c r="A171" s="52"/>
      <c r="B171" s="291"/>
      <c r="C171" s="301"/>
      <c r="D171" s="301"/>
      <c r="E171" s="287"/>
      <c r="F171" s="288"/>
      <c r="G171" s="80"/>
      <c r="H171" s="293"/>
      <c r="I171" s="90"/>
      <c r="J171" s="90"/>
      <c r="K171" s="61"/>
      <c r="L171" s="90"/>
      <c r="M171" s="90"/>
      <c r="N171" s="90"/>
      <c r="O171" s="90"/>
    </row>
    <row r="172" spans="1:15" ht="9" customHeight="1">
      <c r="A172" s="52"/>
      <c r="B172" s="94"/>
      <c r="C172" s="301"/>
      <c r="D172" s="301"/>
      <c r="E172" s="287"/>
      <c r="F172" s="288"/>
      <c r="G172" s="80"/>
      <c r="H172" s="293"/>
      <c r="I172" s="90"/>
      <c r="J172" s="90"/>
      <c r="K172" s="61"/>
      <c r="L172" s="90"/>
      <c r="M172" s="90"/>
      <c r="N172" s="90"/>
      <c r="O172" s="90"/>
    </row>
    <row r="173" spans="1:15" ht="9" customHeight="1">
      <c r="A173" s="52"/>
      <c r="B173" s="291"/>
      <c r="C173" s="301"/>
      <c r="D173" s="301"/>
      <c r="E173" s="287"/>
      <c r="F173" s="288"/>
      <c r="G173" s="80"/>
      <c r="H173" s="293"/>
      <c r="I173" s="90"/>
      <c r="J173" s="90"/>
      <c r="K173" s="61"/>
      <c r="L173" s="90"/>
      <c r="M173" s="90"/>
      <c r="N173" s="90"/>
      <c r="O173" s="90"/>
    </row>
    <row r="174" spans="1:15" ht="9" customHeight="1">
      <c r="A174" s="52"/>
      <c r="B174" s="291"/>
      <c r="C174" s="301"/>
      <c r="D174" s="301"/>
      <c r="E174" s="287"/>
      <c r="F174" s="288"/>
      <c r="G174" s="80"/>
      <c r="H174" s="294"/>
      <c r="I174" s="90"/>
      <c r="J174" s="90"/>
      <c r="K174" s="61"/>
      <c r="L174" s="90"/>
      <c r="M174" s="90"/>
      <c r="N174" s="90"/>
      <c r="O174" s="90"/>
    </row>
    <row r="175" spans="1:15" ht="9" customHeight="1">
      <c r="A175" s="52"/>
      <c r="B175" s="291"/>
      <c r="C175" s="301"/>
      <c r="D175" s="301"/>
      <c r="E175" s="287"/>
      <c r="F175" s="288"/>
      <c r="G175" s="80"/>
      <c r="H175" s="293"/>
      <c r="I175" s="90"/>
      <c r="J175" s="90"/>
      <c r="K175" s="61"/>
      <c r="L175" s="90"/>
      <c r="M175" s="90"/>
      <c r="N175" s="90"/>
      <c r="O175" s="90"/>
    </row>
    <row r="176" spans="1:15" ht="9" customHeight="1">
      <c r="A176" s="302"/>
      <c r="B176" s="284"/>
      <c r="C176" s="301"/>
      <c r="D176" s="301"/>
      <c r="E176" s="287"/>
      <c r="F176" s="288"/>
      <c r="G176" s="78"/>
      <c r="H176" s="303"/>
      <c r="I176" s="90"/>
      <c r="J176" s="90"/>
      <c r="K176" s="61"/>
      <c r="L176" s="90"/>
      <c r="M176" s="90"/>
      <c r="N176" s="90"/>
      <c r="O176" s="90"/>
    </row>
    <row r="177" spans="1:15" ht="9" customHeight="1">
      <c r="A177" s="80"/>
      <c r="B177" s="294"/>
      <c r="C177" s="301"/>
      <c r="D177" s="301"/>
      <c r="E177" s="287"/>
      <c r="F177" s="288"/>
      <c r="G177" s="52"/>
      <c r="H177" s="94"/>
      <c r="I177" s="90"/>
      <c r="J177" s="90"/>
      <c r="K177" s="61"/>
      <c r="L177" s="90"/>
      <c r="M177" s="90"/>
      <c r="N177" s="90"/>
      <c r="O177" s="90"/>
    </row>
    <row r="178" spans="1:15" ht="9" customHeight="1">
      <c r="A178" s="80"/>
      <c r="B178" s="298"/>
      <c r="C178" s="301"/>
      <c r="D178" s="301"/>
      <c r="E178" s="287"/>
      <c r="F178" s="288"/>
      <c r="G178" s="52"/>
      <c r="H178" s="94"/>
      <c r="I178" s="90"/>
      <c r="J178" s="90"/>
      <c r="K178" s="61"/>
      <c r="L178" s="90"/>
      <c r="M178" s="90"/>
      <c r="N178" s="90"/>
      <c r="O178" s="90"/>
    </row>
    <row r="179" spans="1:15" ht="9" customHeight="1">
      <c r="A179" s="80"/>
      <c r="B179" s="298"/>
      <c r="C179" s="301"/>
      <c r="D179" s="301"/>
      <c r="E179" s="287"/>
      <c r="F179" s="288"/>
      <c r="G179" s="52"/>
      <c r="H179" s="94"/>
      <c r="I179" s="90"/>
      <c r="J179" s="90"/>
      <c r="K179" s="61"/>
      <c r="L179" s="90"/>
      <c r="M179" s="90"/>
      <c r="N179" s="90"/>
      <c r="O179" s="90"/>
    </row>
    <row r="180" spans="1:15" ht="9" customHeight="1">
      <c r="A180" s="80"/>
      <c r="B180" s="298"/>
      <c r="C180" s="301"/>
      <c r="D180" s="301"/>
      <c r="E180" s="287"/>
      <c r="F180" s="288"/>
      <c r="G180" s="52"/>
      <c r="H180" s="94"/>
      <c r="I180" s="90"/>
      <c r="J180" s="90"/>
      <c r="K180" s="61"/>
      <c r="L180" s="90"/>
      <c r="M180" s="90"/>
      <c r="N180" s="90"/>
      <c r="O180" s="90"/>
    </row>
    <row r="181" spans="1:15" ht="9" customHeight="1">
      <c r="A181" s="80"/>
      <c r="B181" s="298"/>
      <c r="C181" s="301"/>
      <c r="D181" s="301"/>
      <c r="E181" s="287"/>
      <c r="F181" s="288"/>
      <c r="G181" s="52"/>
      <c r="H181" s="94"/>
      <c r="I181" s="90"/>
      <c r="J181" s="90"/>
      <c r="K181" s="61"/>
      <c r="L181" s="90"/>
      <c r="M181" s="90"/>
      <c r="N181" s="90"/>
      <c r="O181" s="90"/>
    </row>
    <row r="182" spans="1:15" ht="9" customHeight="1">
      <c r="A182" s="80"/>
      <c r="B182" s="293"/>
      <c r="C182" s="301"/>
      <c r="D182" s="301"/>
      <c r="E182" s="287"/>
      <c r="F182" s="288"/>
      <c r="G182" s="52"/>
      <c r="H182" s="94"/>
      <c r="I182" s="90"/>
      <c r="J182" s="90"/>
      <c r="K182" s="61"/>
      <c r="L182" s="90"/>
      <c r="M182" s="90"/>
      <c r="N182" s="90"/>
      <c r="O182" s="90"/>
    </row>
    <row r="183" spans="1:15" ht="9" customHeight="1">
      <c r="A183" s="90"/>
      <c r="B183" s="90"/>
      <c r="C183" s="52"/>
      <c r="D183" s="52"/>
      <c r="E183" s="52"/>
      <c r="F183" s="474"/>
      <c r="G183" s="474"/>
      <c r="H183" s="475"/>
      <c r="I183" s="90"/>
      <c r="J183" s="90"/>
      <c r="K183" s="61"/>
      <c r="L183" s="90"/>
      <c r="M183" s="90"/>
      <c r="N183" s="90"/>
      <c r="O183" s="90"/>
    </row>
    <row r="184" spans="1:15" ht="9" customHeight="1">
      <c r="A184" s="90"/>
      <c r="B184" s="90"/>
      <c r="C184" s="90"/>
      <c r="D184" s="90"/>
      <c r="E184" s="61"/>
      <c r="F184" s="90"/>
      <c r="G184" s="90"/>
      <c r="H184" s="90"/>
      <c r="I184" s="90"/>
      <c r="J184" s="90"/>
      <c r="K184" s="61"/>
      <c r="L184" s="90"/>
      <c r="M184" s="90"/>
      <c r="N184" s="90"/>
      <c r="O184" s="90"/>
    </row>
    <row r="185" spans="1:15" ht="9" customHeight="1">
      <c r="A185" s="90"/>
      <c r="B185" s="90"/>
      <c r="C185" s="90"/>
      <c r="D185" s="90"/>
      <c r="E185" s="61"/>
      <c r="F185" s="90"/>
      <c r="G185" s="90"/>
      <c r="H185" s="90"/>
      <c r="I185" s="90"/>
      <c r="J185" s="90"/>
      <c r="K185" s="61"/>
      <c r="L185" s="90"/>
      <c r="M185" s="90"/>
      <c r="N185" s="90"/>
      <c r="O185" s="90"/>
    </row>
    <row r="186" spans="1:15" ht="9" customHeight="1">
      <c r="A186" s="90"/>
      <c r="B186" s="90"/>
      <c r="C186" s="90"/>
      <c r="D186" s="90"/>
      <c r="E186" s="61"/>
      <c r="F186" s="90"/>
      <c r="G186" s="90"/>
      <c r="H186" s="90"/>
      <c r="I186" s="90"/>
      <c r="J186" s="90"/>
      <c r="K186" s="61"/>
      <c r="L186" s="90"/>
      <c r="M186" s="90"/>
      <c r="N186" s="90"/>
      <c r="O186" s="90"/>
    </row>
    <row r="187" spans="1:15" ht="9" customHeight="1">
      <c r="A187" s="90"/>
      <c r="B187" s="90"/>
      <c r="C187" s="90"/>
      <c r="D187" s="90"/>
      <c r="E187" s="61"/>
      <c r="F187" s="90"/>
      <c r="G187" s="90"/>
      <c r="H187" s="90"/>
      <c r="I187" s="90"/>
      <c r="J187" s="90"/>
      <c r="K187" s="61"/>
      <c r="L187" s="90"/>
      <c r="M187" s="90"/>
      <c r="N187" s="90"/>
      <c r="O187" s="90"/>
    </row>
    <row r="188" spans="1:15" ht="9" customHeight="1">
      <c r="A188" s="90"/>
      <c r="B188" s="90"/>
      <c r="C188" s="90"/>
      <c r="D188" s="90"/>
      <c r="E188" s="61"/>
      <c r="F188" s="90"/>
      <c r="G188" s="90"/>
      <c r="H188" s="90"/>
      <c r="I188" s="90"/>
      <c r="J188" s="90"/>
      <c r="K188" s="61"/>
      <c r="L188" s="90"/>
      <c r="M188" s="90"/>
      <c r="N188" s="90"/>
      <c r="O188" s="90"/>
    </row>
    <row r="189" spans="1:15" ht="9" customHeight="1">
      <c r="A189" s="90"/>
      <c r="B189" s="90"/>
      <c r="C189" s="90"/>
      <c r="D189" s="90"/>
      <c r="E189" s="61"/>
      <c r="F189" s="90"/>
      <c r="G189" s="90"/>
      <c r="H189" s="90"/>
      <c r="I189" s="90"/>
      <c r="J189" s="90"/>
      <c r="K189" s="61"/>
      <c r="L189" s="90"/>
      <c r="M189" s="90"/>
      <c r="N189" s="90"/>
      <c r="O189" s="90"/>
    </row>
    <row r="190" spans="1:15" ht="9" customHeight="1">
      <c r="A190" s="90"/>
      <c r="B190" s="90"/>
      <c r="C190" s="90"/>
      <c r="D190" s="90"/>
      <c r="E190" s="61"/>
      <c r="F190" s="90"/>
      <c r="G190" s="90"/>
      <c r="H190" s="90"/>
      <c r="I190" s="90"/>
      <c r="J190" s="90"/>
      <c r="K190" s="61"/>
      <c r="L190" s="90"/>
      <c r="M190" s="90"/>
      <c r="N190" s="90"/>
      <c r="O190" s="90"/>
    </row>
  </sheetData>
  <sheetProtection/>
  <mergeCells count="34">
    <mergeCell ref="B7:C7"/>
    <mergeCell ref="H18:K18"/>
    <mergeCell ref="A64:K64"/>
    <mergeCell ref="D14:E14"/>
    <mergeCell ref="D13:G13"/>
    <mergeCell ref="A34:K34"/>
    <mergeCell ref="A35:K35"/>
    <mergeCell ref="A65:K65"/>
    <mergeCell ref="A66:K66"/>
    <mergeCell ref="A115:K115"/>
    <mergeCell ref="D101:I101"/>
    <mergeCell ref="A95:F95"/>
    <mergeCell ref="G95:K95"/>
    <mergeCell ref="G80:K80"/>
    <mergeCell ref="A67:K67"/>
    <mergeCell ref="A79:K79"/>
    <mergeCell ref="A131:K131"/>
    <mergeCell ref="A68:K68"/>
    <mergeCell ref="A94:K94"/>
    <mergeCell ref="A80:F80"/>
    <mergeCell ref="A69:F69"/>
    <mergeCell ref="D92:I92"/>
    <mergeCell ref="A93:K93"/>
    <mergeCell ref="G69:K69"/>
    <mergeCell ref="A77:K77"/>
    <mergeCell ref="A78:K78"/>
    <mergeCell ref="A1:K1"/>
    <mergeCell ref="H5:K5"/>
    <mergeCell ref="H6:I6"/>
    <mergeCell ref="J6:K6"/>
    <mergeCell ref="D6:G6"/>
    <mergeCell ref="A5:G5"/>
    <mergeCell ref="A4:K4"/>
    <mergeCell ref="A6:C6"/>
  </mergeCells>
  <printOptions horizontalCentered="1" verticalCentered="1"/>
  <pageMargins left="0" right="0" top="0" bottom="0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38"/>
  <sheetViews>
    <sheetView view="pageBreakPreview" zoomScale="110" zoomScaleSheetLayoutView="110" zoomScalePageLayoutView="0" workbookViewId="0" topLeftCell="A76">
      <selection activeCell="A35" sqref="A35:L35"/>
    </sheetView>
  </sheetViews>
  <sheetFormatPr defaultColWidth="9.00390625" defaultRowHeight="9" customHeight="1"/>
  <cols>
    <col min="1" max="1" width="21.125" style="332" customWidth="1"/>
    <col min="2" max="2" width="10.375" style="332" customWidth="1"/>
    <col min="3" max="3" width="7.75390625" style="332" customWidth="1"/>
    <col min="4" max="4" width="9.75390625" style="332" customWidth="1"/>
    <col min="5" max="5" width="9.75390625" style="537" bestFit="1" customWidth="1"/>
    <col min="6" max="6" width="0.12890625" style="332" customWidth="1"/>
    <col min="7" max="7" width="0.74609375" style="332" customWidth="1"/>
    <col min="8" max="8" width="21.125" style="332" customWidth="1"/>
    <col min="9" max="9" width="10.375" style="332" customWidth="1"/>
    <col min="10" max="10" width="8.00390625" style="332" customWidth="1"/>
    <col min="11" max="11" width="9.125" style="332" customWidth="1"/>
    <col min="12" max="12" width="10.625" style="537" customWidth="1"/>
    <col min="13" max="16384" width="9.125" style="476" customWidth="1"/>
  </cols>
  <sheetData>
    <row r="1" spans="1:12" ht="15.75" customHeight="1">
      <c r="A1" s="2312" t="s">
        <v>131</v>
      </c>
      <c r="B1" s="2312"/>
      <c r="C1" s="2312"/>
      <c r="D1" s="2312"/>
      <c r="E1" s="2312"/>
      <c r="F1" s="2312"/>
      <c r="G1" s="2312"/>
      <c r="H1" s="2312"/>
      <c r="I1" s="2312"/>
      <c r="J1" s="2312"/>
      <c r="K1" s="2312"/>
      <c r="L1" s="2312"/>
    </row>
    <row r="2" spans="1:12" ht="12" customHeight="1">
      <c r="A2" s="477" t="s">
        <v>1749</v>
      </c>
      <c r="B2" s="328"/>
      <c r="C2" s="329"/>
      <c r="D2" s="330"/>
      <c r="E2" s="81"/>
      <c r="F2" s="333"/>
      <c r="G2" s="333"/>
      <c r="H2" s="2337" t="s">
        <v>1643</v>
      </c>
      <c r="I2" s="2337"/>
      <c r="J2" s="2337"/>
      <c r="K2" s="2337"/>
      <c r="L2" s="2337"/>
    </row>
    <row r="3" spans="1:12" ht="12" customHeight="1">
      <c r="A3" s="478"/>
      <c r="B3" s="328"/>
      <c r="C3" s="329"/>
      <c r="D3" s="330"/>
      <c r="E3" s="81"/>
      <c r="F3" s="333"/>
      <c r="G3" s="333"/>
      <c r="H3" s="2338" t="s">
        <v>356</v>
      </c>
      <c r="I3" s="2338"/>
      <c r="J3" s="2338"/>
      <c r="K3" s="2338"/>
      <c r="L3" s="2338"/>
    </row>
    <row r="4" spans="1:12" ht="12" customHeight="1" thickBot="1">
      <c r="A4" s="336" t="s">
        <v>148</v>
      </c>
      <c r="B4" s="337"/>
      <c r="C4" s="334"/>
      <c r="D4" s="334"/>
      <c r="E4" s="338"/>
      <c r="F4" s="334"/>
      <c r="G4" s="334"/>
      <c r="H4" s="336" t="s">
        <v>723</v>
      </c>
      <c r="I4" s="337"/>
      <c r="J4" s="334"/>
      <c r="K4" s="334"/>
      <c r="L4" s="337"/>
    </row>
    <row r="5" spans="1:12" ht="14.25" customHeight="1" thickTop="1">
      <c r="A5" s="2329" t="s">
        <v>72</v>
      </c>
      <c r="B5" s="2329"/>
      <c r="C5" s="2329"/>
      <c r="D5" s="2329"/>
      <c r="E5" s="2329"/>
      <c r="F5" s="2329"/>
      <c r="G5" s="2329"/>
      <c r="H5" s="2329"/>
      <c r="I5" s="2329"/>
      <c r="J5" s="2329"/>
      <c r="K5" s="2329"/>
      <c r="L5" s="2329"/>
    </row>
    <row r="6" spans="1:12" ht="12" customHeight="1" thickBot="1">
      <c r="A6" s="479" t="s">
        <v>170</v>
      </c>
      <c r="B6" s="479"/>
      <c r="C6" s="479"/>
      <c r="D6" s="479"/>
      <c r="E6" s="480"/>
      <c r="F6" s="446"/>
      <c r="G6" s="446"/>
      <c r="H6" s="479"/>
      <c r="I6" s="479"/>
      <c r="J6" s="479"/>
      <c r="K6" s="479"/>
      <c r="L6" s="480"/>
    </row>
    <row r="7" spans="1:12" ht="9.75" customHeight="1" thickBot="1">
      <c r="A7" s="98" t="s">
        <v>398</v>
      </c>
      <c r="B7" s="98" t="s">
        <v>399</v>
      </c>
      <c r="C7" s="88" t="s">
        <v>400</v>
      </c>
      <c r="D7" s="98" t="s">
        <v>401</v>
      </c>
      <c r="E7" s="92" t="s">
        <v>696</v>
      </c>
      <c r="F7" s="97"/>
      <c r="G7" s="97"/>
      <c r="H7" s="93" t="s">
        <v>398</v>
      </c>
      <c r="I7" s="481" t="s">
        <v>399</v>
      </c>
      <c r="J7" s="481" t="s">
        <v>400</v>
      </c>
      <c r="K7" s="481" t="s">
        <v>401</v>
      </c>
      <c r="L7" s="92" t="s">
        <v>696</v>
      </c>
    </row>
    <row r="8" spans="1:12" ht="9.75" customHeight="1">
      <c r="A8" s="417" t="s">
        <v>1813</v>
      </c>
      <c r="B8" s="15">
        <v>16</v>
      </c>
      <c r="C8" s="15">
        <v>5</v>
      </c>
      <c r="D8" s="15" t="s">
        <v>490</v>
      </c>
      <c r="E8" s="482">
        <v>20241</v>
      </c>
      <c r="F8" s="109"/>
      <c r="G8" s="109"/>
      <c r="H8" s="417" t="s">
        <v>1820</v>
      </c>
      <c r="I8" s="15">
        <v>30</v>
      </c>
      <c r="J8" s="15">
        <v>24</v>
      </c>
      <c r="K8" s="15">
        <v>4</v>
      </c>
      <c r="L8" s="65">
        <v>43891</v>
      </c>
    </row>
    <row r="9" spans="1:12" ht="9.75" customHeight="1">
      <c r="A9" s="421" t="s">
        <v>1815</v>
      </c>
      <c r="B9" s="16">
        <v>16</v>
      </c>
      <c r="C9" s="16">
        <v>11</v>
      </c>
      <c r="D9" s="16">
        <v>0.75</v>
      </c>
      <c r="E9" s="67">
        <v>28083</v>
      </c>
      <c r="F9" s="109"/>
      <c r="G9" s="109"/>
      <c r="H9" s="421" t="s">
        <v>1822</v>
      </c>
      <c r="I9" s="16">
        <v>40</v>
      </c>
      <c r="J9" s="16">
        <v>30</v>
      </c>
      <c r="K9" s="16">
        <v>5.5</v>
      </c>
      <c r="L9" s="67">
        <v>58955</v>
      </c>
    </row>
    <row r="10" spans="1:12" ht="9.75" customHeight="1">
      <c r="A10" s="421" t="s">
        <v>1818</v>
      </c>
      <c r="B10" s="16">
        <v>16</v>
      </c>
      <c r="C10" s="16">
        <v>18</v>
      </c>
      <c r="D10" s="16">
        <v>1.5</v>
      </c>
      <c r="E10" s="67">
        <v>34096</v>
      </c>
      <c r="F10" s="109"/>
      <c r="G10" s="109"/>
      <c r="H10" s="421" t="s">
        <v>1824</v>
      </c>
      <c r="I10" s="16">
        <v>40</v>
      </c>
      <c r="J10" s="16">
        <v>45</v>
      </c>
      <c r="K10" s="16">
        <v>11</v>
      </c>
      <c r="L10" s="67">
        <v>83069</v>
      </c>
    </row>
    <row r="11" spans="1:12" ht="9.75" customHeight="1">
      <c r="A11" s="421" t="s">
        <v>1819</v>
      </c>
      <c r="B11" s="16">
        <v>20</v>
      </c>
      <c r="C11" s="16">
        <v>20</v>
      </c>
      <c r="D11" s="16">
        <v>2.2</v>
      </c>
      <c r="E11" s="483">
        <v>35646</v>
      </c>
      <c r="F11" s="109"/>
      <c r="G11" s="109"/>
      <c r="H11" s="421" t="s">
        <v>1826</v>
      </c>
      <c r="I11" s="16">
        <v>50</v>
      </c>
      <c r="J11" s="16">
        <v>50</v>
      </c>
      <c r="K11" s="16">
        <v>15</v>
      </c>
      <c r="L11" s="67">
        <v>98010</v>
      </c>
    </row>
    <row r="12" spans="1:12" ht="9.75" customHeight="1">
      <c r="A12" s="421" t="s">
        <v>1821</v>
      </c>
      <c r="B12" s="16">
        <v>20</v>
      </c>
      <c r="C12" s="16">
        <v>26</v>
      </c>
      <c r="D12" s="16">
        <v>3</v>
      </c>
      <c r="E12" s="67">
        <v>38001</v>
      </c>
      <c r="F12" s="109"/>
      <c r="G12" s="109"/>
      <c r="H12" s="421" t="s">
        <v>1828</v>
      </c>
      <c r="I12" s="16">
        <v>60</v>
      </c>
      <c r="J12" s="16">
        <v>60</v>
      </c>
      <c r="K12" s="16">
        <v>18.5</v>
      </c>
      <c r="L12" s="67">
        <v>116452</v>
      </c>
    </row>
    <row r="13" spans="1:12" ht="9.75" customHeight="1">
      <c r="A13" s="421" t="s">
        <v>1823</v>
      </c>
      <c r="B13" s="16">
        <v>30</v>
      </c>
      <c r="C13" s="16">
        <v>30</v>
      </c>
      <c r="D13" s="16">
        <v>4</v>
      </c>
      <c r="E13" s="67">
        <v>43674</v>
      </c>
      <c r="F13" s="109"/>
      <c r="G13" s="109"/>
      <c r="H13" s="421" t="s">
        <v>1933</v>
      </c>
      <c r="I13" s="16">
        <v>16</v>
      </c>
      <c r="J13" s="16">
        <v>11</v>
      </c>
      <c r="K13" s="16">
        <v>0.75</v>
      </c>
      <c r="L13" s="67">
        <v>61496</v>
      </c>
    </row>
    <row r="14" spans="1:12" ht="9.75" customHeight="1">
      <c r="A14" s="421" t="s">
        <v>1825</v>
      </c>
      <c r="B14" s="16">
        <v>30</v>
      </c>
      <c r="C14" s="16">
        <v>40</v>
      </c>
      <c r="D14" s="16">
        <v>7.5</v>
      </c>
      <c r="E14" s="67">
        <v>60349</v>
      </c>
      <c r="F14" s="109"/>
      <c r="G14" s="109"/>
      <c r="H14" s="421" t="s">
        <v>1934</v>
      </c>
      <c r="I14" s="16">
        <v>20</v>
      </c>
      <c r="J14" s="16">
        <v>20</v>
      </c>
      <c r="K14" s="16">
        <v>2.2</v>
      </c>
      <c r="L14" s="67">
        <v>90416</v>
      </c>
    </row>
    <row r="15" spans="1:12" ht="9.75" customHeight="1">
      <c r="A15" s="421" t="s">
        <v>1827</v>
      </c>
      <c r="B15" s="16">
        <v>40</v>
      </c>
      <c r="C15" s="16">
        <v>50</v>
      </c>
      <c r="D15" s="16">
        <v>11</v>
      </c>
      <c r="E15" s="67">
        <v>81675</v>
      </c>
      <c r="F15" s="109"/>
      <c r="G15" s="109"/>
      <c r="H15" s="421" t="s">
        <v>1935</v>
      </c>
      <c r="I15" s="16">
        <v>20</v>
      </c>
      <c r="J15" s="16">
        <v>26</v>
      </c>
      <c r="K15" s="16">
        <v>3</v>
      </c>
      <c r="L15" s="67">
        <v>97142</v>
      </c>
    </row>
    <row r="16" spans="1:12" ht="9.75" customHeight="1">
      <c r="A16" s="421" t="s">
        <v>1814</v>
      </c>
      <c r="B16" s="16">
        <v>25</v>
      </c>
      <c r="C16" s="16">
        <v>4</v>
      </c>
      <c r="D16" s="16" t="s">
        <v>770</v>
      </c>
      <c r="E16" s="67">
        <v>24890</v>
      </c>
      <c r="F16" s="109"/>
      <c r="G16" s="109"/>
      <c r="H16" s="421" t="s">
        <v>1936</v>
      </c>
      <c r="I16" s="16">
        <v>40</v>
      </c>
      <c r="J16" s="16">
        <v>20</v>
      </c>
      <c r="K16" s="16">
        <v>5.5</v>
      </c>
      <c r="L16" s="67">
        <v>106998</v>
      </c>
    </row>
    <row r="17" spans="1:12" ht="9.75" customHeight="1">
      <c r="A17" s="421" t="s">
        <v>1816</v>
      </c>
      <c r="B17" s="16">
        <v>25</v>
      </c>
      <c r="C17" s="16">
        <v>12</v>
      </c>
      <c r="D17" s="16">
        <v>1.5</v>
      </c>
      <c r="E17" s="484">
        <v>34158</v>
      </c>
      <c r="F17" s="109"/>
      <c r="G17" s="109"/>
      <c r="H17" s="421" t="s">
        <v>1937</v>
      </c>
      <c r="I17" s="16">
        <v>40</v>
      </c>
      <c r="J17" s="16">
        <v>24</v>
      </c>
      <c r="K17" s="16">
        <v>7.5</v>
      </c>
      <c r="L17" s="67">
        <v>111462</v>
      </c>
    </row>
    <row r="18" spans="1:12" ht="9.75" customHeight="1" thickBot="1">
      <c r="A18" s="426" t="s">
        <v>1817</v>
      </c>
      <c r="B18" s="17">
        <v>30</v>
      </c>
      <c r="C18" s="17">
        <v>16</v>
      </c>
      <c r="D18" s="17">
        <v>2.2</v>
      </c>
      <c r="E18" s="485">
        <v>35800</v>
      </c>
      <c r="F18" s="109"/>
      <c r="G18" s="109"/>
      <c r="H18" s="426" t="s">
        <v>1938</v>
      </c>
      <c r="I18" s="17">
        <v>80</v>
      </c>
      <c r="J18" s="17">
        <v>30</v>
      </c>
      <c r="K18" s="17">
        <v>15</v>
      </c>
      <c r="L18" s="71">
        <v>192981</v>
      </c>
    </row>
    <row r="19" spans="1:12" ht="15" customHeight="1">
      <c r="A19" s="2323" t="s">
        <v>471</v>
      </c>
      <c r="B19" s="2331"/>
      <c r="C19" s="2331"/>
      <c r="D19" s="2331"/>
      <c r="E19" s="2331"/>
      <c r="F19" s="2331"/>
      <c r="G19" s="2331"/>
      <c r="H19" s="2331"/>
      <c r="I19" s="2331"/>
      <c r="J19" s="2331"/>
      <c r="K19" s="2331"/>
      <c r="L19" s="2331"/>
    </row>
    <row r="20" spans="1:12" ht="16.5" customHeight="1" thickBot="1">
      <c r="A20" s="486" t="s">
        <v>872</v>
      </c>
      <c r="B20" s="486"/>
      <c r="C20" s="486"/>
      <c r="D20" s="297"/>
      <c r="E20" s="487"/>
      <c r="F20" s="486"/>
      <c r="G20" s="486"/>
      <c r="H20" s="486"/>
      <c r="I20" s="486"/>
      <c r="J20" s="486"/>
      <c r="K20" s="486"/>
      <c r="L20" s="487"/>
    </row>
    <row r="21" spans="1:12" ht="9.75" customHeight="1" thickBot="1">
      <c r="A21" s="93" t="s">
        <v>171</v>
      </c>
      <c r="B21" s="481" t="s">
        <v>1912</v>
      </c>
      <c r="C21" s="481" t="s">
        <v>1964</v>
      </c>
      <c r="D21" s="481" t="s">
        <v>1967</v>
      </c>
      <c r="E21" s="488" t="s">
        <v>1969</v>
      </c>
      <c r="F21" s="68"/>
      <c r="G21" s="68"/>
      <c r="H21" s="93" t="s">
        <v>171</v>
      </c>
      <c r="I21" s="481" t="s">
        <v>399</v>
      </c>
      <c r="J21" s="481" t="s">
        <v>400</v>
      </c>
      <c r="K21" s="481" t="s">
        <v>401</v>
      </c>
      <c r="L21" s="488" t="s">
        <v>1969</v>
      </c>
    </row>
    <row r="22" spans="1:12" ht="9.75" customHeight="1">
      <c r="A22" s="422" t="s">
        <v>132</v>
      </c>
      <c r="B22" s="59">
        <v>12</v>
      </c>
      <c r="C22" s="59">
        <v>7</v>
      </c>
      <c r="D22" s="59" t="s">
        <v>477</v>
      </c>
      <c r="E22" s="60" t="s">
        <v>2008</v>
      </c>
      <c r="F22" s="52"/>
      <c r="G22" s="52"/>
      <c r="H22" s="414" t="s">
        <v>499</v>
      </c>
      <c r="I22" s="15">
        <v>70</v>
      </c>
      <c r="J22" s="15">
        <v>38</v>
      </c>
      <c r="K22" s="15" t="s">
        <v>485</v>
      </c>
      <c r="L22" s="53">
        <v>62368</v>
      </c>
    </row>
    <row r="23" spans="1:12" ht="9.75" customHeight="1">
      <c r="A23" s="418" t="s">
        <v>133</v>
      </c>
      <c r="B23" s="16">
        <v>20</v>
      </c>
      <c r="C23" s="16">
        <v>16</v>
      </c>
      <c r="D23" s="16" t="s">
        <v>802</v>
      </c>
      <c r="E23" s="55">
        <v>22793</v>
      </c>
      <c r="F23" s="52"/>
      <c r="G23" s="52"/>
      <c r="H23" s="418" t="s">
        <v>498</v>
      </c>
      <c r="I23" s="16">
        <v>80</v>
      </c>
      <c r="J23" s="16">
        <v>65</v>
      </c>
      <c r="K23" s="16" t="s">
        <v>487</v>
      </c>
      <c r="L23" s="55">
        <v>103792</v>
      </c>
    </row>
    <row r="24" spans="1:12" ht="9.75" customHeight="1">
      <c r="A24" s="425" t="s">
        <v>134</v>
      </c>
      <c r="B24" s="16">
        <v>20</v>
      </c>
      <c r="C24" s="16">
        <v>20</v>
      </c>
      <c r="D24" s="16" t="s">
        <v>489</v>
      </c>
      <c r="E24" s="55">
        <v>24792</v>
      </c>
      <c r="F24" s="52"/>
      <c r="G24" s="52"/>
      <c r="H24" s="418" t="s">
        <v>497</v>
      </c>
      <c r="I24" s="16">
        <v>150</v>
      </c>
      <c r="J24" s="16">
        <v>40</v>
      </c>
      <c r="K24" s="16" t="s">
        <v>487</v>
      </c>
      <c r="L24" s="55">
        <v>97702</v>
      </c>
    </row>
    <row r="25" spans="1:12" ht="9.75" customHeight="1">
      <c r="A25" s="425" t="s">
        <v>135</v>
      </c>
      <c r="B25" s="16">
        <v>28</v>
      </c>
      <c r="C25" s="16">
        <v>28</v>
      </c>
      <c r="D25" s="16" t="s">
        <v>806</v>
      </c>
      <c r="E25" s="55">
        <v>28587</v>
      </c>
      <c r="F25" s="86"/>
      <c r="G25" s="86"/>
      <c r="H25" s="418" t="s">
        <v>496</v>
      </c>
      <c r="I25" s="489">
        <v>120</v>
      </c>
      <c r="J25" s="16">
        <v>55</v>
      </c>
      <c r="K25" s="16" t="s">
        <v>488</v>
      </c>
      <c r="L25" s="55">
        <v>84786</v>
      </c>
    </row>
    <row r="26" spans="1:12" ht="9.75" customHeight="1">
      <c r="A26" s="425" t="s">
        <v>136</v>
      </c>
      <c r="B26" s="16">
        <v>30</v>
      </c>
      <c r="C26" s="16">
        <v>24</v>
      </c>
      <c r="D26" s="16" t="s">
        <v>806</v>
      </c>
      <c r="E26" s="55">
        <v>29076</v>
      </c>
      <c r="F26" s="52"/>
      <c r="G26" s="52"/>
      <c r="H26" s="418" t="s">
        <v>1939</v>
      </c>
      <c r="I26" s="16">
        <v>300</v>
      </c>
      <c r="J26" s="16">
        <v>30</v>
      </c>
      <c r="K26" s="16" t="s">
        <v>788</v>
      </c>
      <c r="L26" s="55">
        <v>211136</v>
      </c>
    </row>
    <row r="27" spans="1:12" ht="9.75" customHeight="1">
      <c r="A27" s="425" t="s">
        <v>141</v>
      </c>
      <c r="B27" s="16">
        <v>25</v>
      </c>
      <c r="C27" s="16">
        <v>26</v>
      </c>
      <c r="D27" s="490" t="s">
        <v>806</v>
      </c>
      <c r="E27" s="55">
        <v>36474</v>
      </c>
      <c r="F27" s="52"/>
      <c r="G27" s="52"/>
      <c r="H27" s="418" t="s">
        <v>491</v>
      </c>
      <c r="I27" s="16">
        <v>14</v>
      </c>
      <c r="J27" s="16">
        <v>11</v>
      </c>
      <c r="K27" s="491" t="s">
        <v>492</v>
      </c>
      <c r="L27" s="55">
        <v>24849</v>
      </c>
    </row>
    <row r="28" spans="1:12" ht="9.75" customHeight="1">
      <c r="A28" s="425" t="s">
        <v>142</v>
      </c>
      <c r="B28" s="16">
        <v>30</v>
      </c>
      <c r="C28" s="16">
        <v>11.5</v>
      </c>
      <c r="D28" s="16" t="s">
        <v>802</v>
      </c>
      <c r="E28" s="55">
        <v>24440</v>
      </c>
      <c r="F28" s="52"/>
      <c r="G28" s="52"/>
      <c r="H28" s="418" t="s">
        <v>472</v>
      </c>
      <c r="I28" s="16">
        <v>32</v>
      </c>
      <c r="J28" s="16">
        <v>14</v>
      </c>
      <c r="K28" s="16" t="s">
        <v>479</v>
      </c>
      <c r="L28" s="55">
        <v>30121</v>
      </c>
    </row>
    <row r="29" spans="1:12" ht="9.75" customHeight="1">
      <c r="A29" s="425" t="s">
        <v>143</v>
      </c>
      <c r="B29" s="16">
        <v>40</v>
      </c>
      <c r="C29" s="16">
        <v>16</v>
      </c>
      <c r="D29" s="16" t="s">
        <v>56</v>
      </c>
      <c r="E29" s="55">
        <v>30591</v>
      </c>
      <c r="F29" s="52"/>
      <c r="G29" s="52"/>
      <c r="H29" s="418" t="s">
        <v>2047</v>
      </c>
      <c r="I29" s="16">
        <v>20</v>
      </c>
      <c r="J29" s="16">
        <v>6</v>
      </c>
      <c r="K29" s="16" t="s">
        <v>490</v>
      </c>
      <c r="L29" s="55">
        <v>42824</v>
      </c>
    </row>
    <row r="30" spans="1:12" ht="9.75" customHeight="1">
      <c r="A30" s="425" t="s">
        <v>144</v>
      </c>
      <c r="B30" s="16">
        <v>40</v>
      </c>
      <c r="C30" s="16">
        <v>20</v>
      </c>
      <c r="D30" s="16" t="s">
        <v>56</v>
      </c>
      <c r="E30" s="55">
        <v>31893</v>
      </c>
      <c r="F30" s="52"/>
      <c r="G30" s="52"/>
      <c r="H30" s="418" t="s">
        <v>493</v>
      </c>
      <c r="I30" s="16">
        <v>25</v>
      </c>
      <c r="J30" s="16">
        <v>10</v>
      </c>
      <c r="K30" s="16" t="s">
        <v>492</v>
      </c>
      <c r="L30" s="55">
        <v>44283</v>
      </c>
    </row>
    <row r="31" spans="1:12" ht="9.75" customHeight="1">
      <c r="A31" s="425" t="s">
        <v>145</v>
      </c>
      <c r="B31" s="16">
        <v>50</v>
      </c>
      <c r="C31" s="16">
        <v>16</v>
      </c>
      <c r="D31" s="16" t="s">
        <v>806</v>
      </c>
      <c r="E31" s="55">
        <v>33196</v>
      </c>
      <c r="F31" s="52"/>
      <c r="G31" s="52"/>
      <c r="H31" s="418" t="s">
        <v>494</v>
      </c>
      <c r="I31" s="16">
        <v>50</v>
      </c>
      <c r="J31" s="16">
        <v>14</v>
      </c>
      <c r="K31" s="16" t="s">
        <v>489</v>
      </c>
      <c r="L31" s="55">
        <v>57134</v>
      </c>
    </row>
    <row r="32" spans="1:12" ht="9.75" customHeight="1">
      <c r="A32" s="425" t="s">
        <v>472</v>
      </c>
      <c r="B32" s="16">
        <v>48</v>
      </c>
      <c r="C32" s="16">
        <v>12</v>
      </c>
      <c r="D32" s="16" t="s">
        <v>489</v>
      </c>
      <c r="E32" s="55">
        <v>30121</v>
      </c>
      <c r="F32" s="52"/>
      <c r="G32" s="52"/>
      <c r="H32" s="421" t="s">
        <v>473</v>
      </c>
      <c r="I32" s="16">
        <v>40</v>
      </c>
      <c r="J32" s="16">
        <v>35</v>
      </c>
      <c r="K32" s="16" t="s">
        <v>484</v>
      </c>
      <c r="L32" s="55">
        <v>78037</v>
      </c>
    </row>
    <row r="33" spans="1:12" ht="9.75" customHeight="1">
      <c r="A33" s="425" t="s">
        <v>146</v>
      </c>
      <c r="B33" s="16">
        <v>60</v>
      </c>
      <c r="C33" s="16">
        <v>18</v>
      </c>
      <c r="D33" s="491" t="s">
        <v>483</v>
      </c>
      <c r="E33" s="55">
        <v>38655</v>
      </c>
      <c r="F33" s="52"/>
      <c r="G33" s="52"/>
      <c r="H33" s="418" t="s">
        <v>474</v>
      </c>
      <c r="I33" s="16">
        <v>60</v>
      </c>
      <c r="J33" s="16">
        <v>16</v>
      </c>
      <c r="K33" s="16" t="s">
        <v>486</v>
      </c>
      <c r="L33" s="55">
        <v>90549</v>
      </c>
    </row>
    <row r="34" spans="1:12" ht="9.75" customHeight="1" thickBot="1">
      <c r="A34" s="492" t="s">
        <v>147</v>
      </c>
      <c r="B34" s="17">
        <v>70</v>
      </c>
      <c r="C34" s="17">
        <v>22</v>
      </c>
      <c r="D34" s="17" t="s">
        <v>484</v>
      </c>
      <c r="E34" s="62">
        <v>39267</v>
      </c>
      <c r="F34" s="52"/>
      <c r="G34" s="52"/>
      <c r="H34" s="493" t="s">
        <v>495</v>
      </c>
      <c r="I34" s="17">
        <v>120</v>
      </c>
      <c r="J34" s="17">
        <v>14</v>
      </c>
      <c r="K34" s="17" t="s">
        <v>481</v>
      </c>
      <c r="L34" s="62">
        <v>106145</v>
      </c>
    </row>
    <row r="35" spans="1:12" ht="5.25" customHeight="1">
      <c r="A35" s="2343"/>
      <c r="B35" s="2343"/>
      <c r="C35" s="2343"/>
      <c r="D35" s="2343"/>
      <c r="E35" s="2343"/>
      <c r="F35" s="2343"/>
      <c r="G35" s="2343"/>
      <c r="H35" s="2343"/>
      <c r="I35" s="2343"/>
      <c r="J35" s="2343"/>
      <c r="K35" s="2343"/>
      <c r="L35" s="2343"/>
    </row>
    <row r="36" spans="1:12" ht="18" customHeight="1">
      <c r="A36" s="2345" t="s">
        <v>1998</v>
      </c>
      <c r="B36" s="2345"/>
      <c r="C36" s="2345"/>
      <c r="D36" s="2345"/>
      <c r="E36" s="2345"/>
      <c r="F36" s="2345"/>
      <c r="G36" s="2345"/>
      <c r="H36" s="2345"/>
      <c r="I36" s="2345"/>
      <c r="J36" s="2345"/>
      <c r="K36" s="2345"/>
      <c r="L36" s="2345"/>
    </row>
    <row r="37" spans="1:12" ht="9.75" customHeight="1">
      <c r="A37" s="479" t="s">
        <v>1829</v>
      </c>
      <c r="B37" s="479"/>
      <c r="C37" s="479"/>
      <c r="D37" s="479"/>
      <c r="E37" s="480"/>
      <c r="F37" s="87"/>
      <c r="G37" s="87"/>
      <c r="H37" s="479" t="s">
        <v>1847</v>
      </c>
      <c r="I37" s="479"/>
      <c r="J37" s="479"/>
      <c r="K37" s="479"/>
      <c r="L37" s="480"/>
    </row>
    <row r="38" spans="1:12" ht="9.75" customHeight="1">
      <c r="A38" s="479" t="s">
        <v>1894</v>
      </c>
      <c r="B38" s="479"/>
      <c r="C38" s="479"/>
      <c r="D38" s="479"/>
      <c r="E38" s="480"/>
      <c r="F38" s="87"/>
      <c r="G38" s="87"/>
      <c r="H38" s="479" t="s">
        <v>1894</v>
      </c>
      <c r="I38" s="479"/>
      <c r="J38" s="479"/>
      <c r="K38" s="479"/>
      <c r="L38" s="480"/>
    </row>
    <row r="39" spans="1:12" ht="10.5" customHeight="1" thickBot="1">
      <c r="A39" s="2341" t="s">
        <v>67</v>
      </c>
      <c r="B39" s="2342"/>
      <c r="C39" s="87"/>
      <c r="D39" s="87"/>
      <c r="E39" s="91"/>
      <c r="F39" s="87"/>
      <c r="G39" s="87"/>
      <c r="H39" s="2341" t="s">
        <v>60</v>
      </c>
      <c r="I39" s="2342"/>
      <c r="J39" s="495"/>
      <c r="K39" s="479"/>
      <c r="L39" s="91"/>
    </row>
    <row r="40" spans="1:12" s="497" customFormat="1" ht="9.75" customHeight="1" thickBot="1">
      <c r="A40" s="93" t="s">
        <v>171</v>
      </c>
      <c r="B40" s="481" t="s">
        <v>399</v>
      </c>
      <c r="C40" s="481" t="s">
        <v>400</v>
      </c>
      <c r="D40" s="481" t="s">
        <v>401</v>
      </c>
      <c r="E40" s="488" t="s">
        <v>1969</v>
      </c>
      <c r="F40" s="68"/>
      <c r="G40" s="68"/>
      <c r="H40" s="98" t="s">
        <v>171</v>
      </c>
      <c r="I40" s="88" t="s">
        <v>399</v>
      </c>
      <c r="J40" s="98" t="s">
        <v>400</v>
      </c>
      <c r="K40" s="88" t="s">
        <v>401</v>
      </c>
      <c r="L40" s="496" t="s">
        <v>939</v>
      </c>
    </row>
    <row r="41" spans="1:12" ht="9.75" customHeight="1">
      <c r="A41" s="414" t="s">
        <v>2063</v>
      </c>
      <c r="B41" s="15">
        <v>10</v>
      </c>
      <c r="C41" s="15">
        <v>7</v>
      </c>
      <c r="D41" s="15" t="s">
        <v>54</v>
      </c>
      <c r="E41" s="53">
        <v>24638</v>
      </c>
      <c r="F41" s="72"/>
      <c r="G41" s="72"/>
      <c r="H41" s="417" t="s">
        <v>1943</v>
      </c>
      <c r="I41" s="15">
        <v>10</v>
      </c>
      <c r="J41" s="15">
        <v>18</v>
      </c>
      <c r="K41" s="15">
        <v>1.85</v>
      </c>
      <c r="L41" s="53">
        <v>11361</v>
      </c>
    </row>
    <row r="42" spans="1:12" ht="9.75" customHeight="1">
      <c r="A42" s="418" t="s">
        <v>42</v>
      </c>
      <c r="B42" s="16">
        <v>15</v>
      </c>
      <c r="C42" s="16">
        <v>25</v>
      </c>
      <c r="D42" s="16" t="s">
        <v>489</v>
      </c>
      <c r="E42" s="55">
        <v>26502</v>
      </c>
      <c r="F42" s="73"/>
      <c r="G42" s="73"/>
      <c r="H42" s="421" t="s">
        <v>1946</v>
      </c>
      <c r="I42" s="16">
        <v>20</v>
      </c>
      <c r="J42" s="16">
        <v>25</v>
      </c>
      <c r="K42" s="16">
        <v>3</v>
      </c>
      <c r="L42" s="55">
        <v>15537</v>
      </c>
    </row>
    <row r="43" spans="1:12" ht="9.75" customHeight="1">
      <c r="A43" s="418" t="s">
        <v>43</v>
      </c>
      <c r="B43" s="16">
        <v>15</v>
      </c>
      <c r="C43" s="16">
        <v>35</v>
      </c>
      <c r="D43" s="16" t="s">
        <v>55</v>
      </c>
      <c r="E43" s="55">
        <v>29445</v>
      </c>
      <c r="F43" s="73"/>
      <c r="G43" s="73"/>
      <c r="H43" s="421" t="s">
        <v>1948</v>
      </c>
      <c r="I43" s="16">
        <v>25</v>
      </c>
      <c r="J43" s="16">
        <v>35</v>
      </c>
      <c r="K43" s="16">
        <v>4</v>
      </c>
      <c r="L43" s="55">
        <v>18363</v>
      </c>
    </row>
    <row r="44" spans="1:12" ht="9.75" customHeight="1">
      <c r="A44" s="418" t="s">
        <v>44</v>
      </c>
      <c r="B44" s="16">
        <v>30</v>
      </c>
      <c r="C44" s="16">
        <v>20</v>
      </c>
      <c r="D44" s="16" t="s">
        <v>56</v>
      </c>
      <c r="E44" s="55">
        <v>33476</v>
      </c>
      <c r="F44" s="73"/>
      <c r="G44" s="73"/>
      <c r="H44" s="421" t="s">
        <v>1949</v>
      </c>
      <c r="I44" s="16">
        <v>30</v>
      </c>
      <c r="J44" s="16">
        <v>25</v>
      </c>
      <c r="K44" s="16">
        <v>4</v>
      </c>
      <c r="L44" s="55">
        <v>19235</v>
      </c>
    </row>
    <row r="45" spans="1:12" ht="9.75" customHeight="1">
      <c r="A45" s="418" t="s">
        <v>2064</v>
      </c>
      <c r="B45" s="16">
        <v>20</v>
      </c>
      <c r="C45" s="16">
        <v>6</v>
      </c>
      <c r="D45" s="16" t="s">
        <v>477</v>
      </c>
      <c r="E45" s="55">
        <v>25290</v>
      </c>
      <c r="F45" s="73"/>
      <c r="G45" s="73"/>
      <c r="H45" s="421" t="s">
        <v>1947</v>
      </c>
      <c r="I45" s="16">
        <v>20</v>
      </c>
      <c r="J45" s="16">
        <v>45</v>
      </c>
      <c r="K45" s="16">
        <v>5.5</v>
      </c>
      <c r="L45" s="55">
        <v>40678</v>
      </c>
    </row>
    <row r="46" spans="1:12" ht="9.75" customHeight="1">
      <c r="A46" s="418" t="s">
        <v>51</v>
      </c>
      <c r="B46" s="16">
        <v>40</v>
      </c>
      <c r="C46" s="16">
        <v>40</v>
      </c>
      <c r="D46" s="16" t="s">
        <v>484</v>
      </c>
      <c r="E46" s="55">
        <v>47305</v>
      </c>
      <c r="F46" s="73"/>
      <c r="G46" s="73"/>
      <c r="H46" s="421" t="s">
        <v>1950</v>
      </c>
      <c r="I46" s="16">
        <v>30</v>
      </c>
      <c r="J46" s="16">
        <v>45</v>
      </c>
      <c r="K46" s="16">
        <v>7.5</v>
      </c>
      <c r="L46" s="55">
        <v>42752</v>
      </c>
    </row>
    <row r="47" spans="1:12" ht="9.75" customHeight="1">
      <c r="A47" s="418" t="s">
        <v>38</v>
      </c>
      <c r="B47" s="16">
        <v>30</v>
      </c>
      <c r="C47" s="16">
        <v>14</v>
      </c>
      <c r="D47" s="16" t="s">
        <v>479</v>
      </c>
      <c r="E47" s="55">
        <v>34781</v>
      </c>
      <c r="F47" s="73"/>
      <c r="G47" s="73"/>
      <c r="H47" s="421" t="s">
        <v>326</v>
      </c>
      <c r="I47" s="16">
        <v>50</v>
      </c>
      <c r="J47" s="16">
        <v>48</v>
      </c>
      <c r="K47" s="16">
        <v>7.5</v>
      </c>
      <c r="L47" s="55">
        <v>43526</v>
      </c>
    </row>
    <row r="48" spans="1:12" ht="9.75" customHeight="1">
      <c r="A48" s="418" t="s">
        <v>50</v>
      </c>
      <c r="B48" s="16">
        <v>64</v>
      </c>
      <c r="C48" s="16">
        <v>25</v>
      </c>
      <c r="D48" s="16" t="s">
        <v>484</v>
      </c>
      <c r="E48" s="55">
        <v>47305</v>
      </c>
      <c r="F48" s="73"/>
      <c r="G48" s="73"/>
      <c r="H48" s="421" t="s">
        <v>1953</v>
      </c>
      <c r="I48" s="64">
        <v>70</v>
      </c>
      <c r="J48" s="64">
        <v>25</v>
      </c>
      <c r="K48" s="64">
        <v>7.5</v>
      </c>
      <c r="L48" s="56">
        <v>51739</v>
      </c>
    </row>
    <row r="49" spans="1:12" ht="9.75" customHeight="1">
      <c r="A49" s="418" t="s">
        <v>39</v>
      </c>
      <c r="B49" s="16">
        <v>30</v>
      </c>
      <c r="C49" s="16">
        <v>8</v>
      </c>
      <c r="D49" s="16" t="s">
        <v>57</v>
      </c>
      <c r="E49" s="55">
        <v>27070</v>
      </c>
      <c r="F49" s="73"/>
      <c r="G49" s="73"/>
      <c r="H49" s="498" t="s">
        <v>1951</v>
      </c>
      <c r="I49" s="16">
        <v>50</v>
      </c>
      <c r="J49" s="16">
        <v>40</v>
      </c>
      <c r="K49" s="16">
        <v>9.2</v>
      </c>
      <c r="L49" s="55">
        <v>53094</v>
      </c>
    </row>
    <row r="50" spans="1:12" ht="9.75" customHeight="1">
      <c r="A50" s="418" t="s">
        <v>40</v>
      </c>
      <c r="B50" s="16">
        <v>30</v>
      </c>
      <c r="C50" s="16">
        <v>14</v>
      </c>
      <c r="D50" s="16" t="s">
        <v>479</v>
      </c>
      <c r="E50" s="55">
        <v>33832</v>
      </c>
      <c r="F50" s="73"/>
      <c r="G50" s="73"/>
      <c r="H50" s="499" t="s">
        <v>1954</v>
      </c>
      <c r="I50" s="59">
        <v>80</v>
      </c>
      <c r="J50" s="59">
        <v>27</v>
      </c>
      <c r="K50" s="59">
        <v>9.2</v>
      </c>
      <c r="L50" s="60">
        <v>54698</v>
      </c>
    </row>
    <row r="51" spans="1:12" ht="9.75" customHeight="1">
      <c r="A51" s="418" t="s">
        <v>52</v>
      </c>
      <c r="B51" s="16">
        <v>60</v>
      </c>
      <c r="C51" s="16">
        <v>50</v>
      </c>
      <c r="D51" s="16" t="s">
        <v>759</v>
      </c>
      <c r="E51" s="55">
        <v>73510</v>
      </c>
      <c r="F51" s="73"/>
      <c r="G51" s="73"/>
      <c r="H51" s="418" t="s">
        <v>1952</v>
      </c>
      <c r="I51" s="16">
        <v>60</v>
      </c>
      <c r="J51" s="16">
        <v>40</v>
      </c>
      <c r="K51" s="16">
        <v>11</v>
      </c>
      <c r="L51" s="55">
        <v>55140</v>
      </c>
    </row>
    <row r="52" spans="1:12" ht="9.75" customHeight="1">
      <c r="A52" s="418" t="s">
        <v>2062</v>
      </c>
      <c r="B52" s="16">
        <v>30</v>
      </c>
      <c r="C52" s="16">
        <v>30</v>
      </c>
      <c r="D52" s="16" t="s">
        <v>760</v>
      </c>
      <c r="E52" s="55">
        <v>51018</v>
      </c>
      <c r="F52" s="52"/>
      <c r="G52" s="52"/>
      <c r="H52" s="499" t="s">
        <v>1942</v>
      </c>
      <c r="I52" s="16">
        <v>90</v>
      </c>
      <c r="J52" s="16">
        <v>30</v>
      </c>
      <c r="K52" s="16">
        <v>11</v>
      </c>
      <c r="L52" s="55">
        <v>56771</v>
      </c>
    </row>
    <row r="53" spans="1:12" ht="9.75" customHeight="1">
      <c r="A53" s="421" t="s">
        <v>53</v>
      </c>
      <c r="B53" s="16">
        <v>60</v>
      </c>
      <c r="C53" s="16">
        <v>40</v>
      </c>
      <c r="D53" s="16" t="s">
        <v>485</v>
      </c>
      <c r="E53" s="55">
        <v>57805</v>
      </c>
      <c r="F53" s="52"/>
      <c r="G53" s="52"/>
      <c r="H53" s="421" t="s">
        <v>1944</v>
      </c>
      <c r="I53" s="16">
        <v>20</v>
      </c>
      <c r="J53" s="16">
        <v>18</v>
      </c>
      <c r="K53" s="16">
        <v>2.2</v>
      </c>
      <c r="L53" s="55">
        <v>17210</v>
      </c>
    </row>
    <row r="54" spans="1:12" ht="9.75" customHeight="1" thickBot="1">
      <c r="A54" s="493" t="s">
        <v>41</v>
      </c>
      <c r="B54" s="17">
        <v>40</v>
      </c>
      <c r="C54" s="17">
        <v>10</v>
      </c>
      <c r="D54" s="17" t="s">
        <v>479</v>
      </c>
      <c r="E54" s="62">
        <v>31122</v>
      </c>
      <c r="F54" s="95"/>
      <c r="G54" s="95"/>
      <c r="H54" s="426" t="s">
        <v>1945</v>
      </c>
      <c r="I54" s="17">
        <v>20</v>
      </c>
      <c r="J54" s="17">
        <v>20</v>
      </c>
      <c r="K54" s="17">
        <v>2.2</v>
      </c>
      <c r="L54" s="62">
        <v>15186</v>
      </c>
    </row>
    <row r="55" spans="1:18" ht="15.75" customHeight="1" thickBot="1">
      <c r="A55" s="2341" t="s">
        <v>1794</v>
      </c>
      <c r="B55" s="2342"/>
      <c r="C55" s="87"/>
      <c r="D55" s="479"/>
      <c r="E55" s="91"/>
      <c r="F55" s="87"/>
      <c r="G55" s="87"/>
      <c r="H55" s="2341" t="s">
        <v>1794</v>
      </c>
      <c r="I55" s="2342"/>
      <c r="J55" s="87"/>
      <c r="K55" s="87"/>
      <c r="L55" s="91"/>
      <c r="M55" s="99"/>
      <c r="N55" s="99"/>
      <c r="O55" s="99"/>
      <c r="P55" s="99"/>
      <c r="Q55" s="99"/>
      <c r="R55" s="99"/>
    </row>
    <row r="56" spans="1:12" ht="9.75" customHeight="1" thickBot="1">
      <c r="A56" s="500" t="s">
        <v>171</v>
      </c>
      <c r="B56" s="89" t="s">
        <v>1912</v>
      </c>
      <c r="C56" s="481" t="s">
        <v>400</v>
      </c>
      <c r="D56" s="89" t="s">
        <v>401</v>
      </c>
      <c r="E56" s="488" t="s">
        <v>1969</v>
      </c>
      <c r="F56" s="87"/>
      <c r="G56" s="87"/>
      <c r="H56" s="414" t="s">
        <v>1714</v>
      </c>
      <c r="I56" s="15">
        <v>36</v>
      </c>
      <c r="J56" s="15">
        <v>39</v>
      </c>
      <c r="K56" s="501">
        <v>7.5</v>
      </c>
      <c r="L56" s="84">
        <v>36796</v>
      </c>
    </row>
    <row r="57" spans="1:12" s="503" customFormat="1" ht="9.75" customHeight="1">
      <c r="A57" s="414" t="s">
        <v>1712</v>
      </c>
      <c r="B57" s="15">
        <v>12</v>
      </c>
      <c r="C57" s="15">
        <v>15</v>
      </c>
      <c r="D57" s="450">
        <v>1.1</v>
      </c>
      <c r="E57" s="53">
        <v>14614</v>
      </c>
      <c r="F57" s="110"/>
      <c r="G57" s="110"/>
      <c r="H57" s="418" t="s">
        <v>1715</v>
      </c>
      <c r="I57" s="16">
        <v>36</v>
      </c>
      <c r="J57" s="16">
        <v>55</v>
      </c>
      <c r="K57" s="502">
        <v>11</v>
      </c>
      <c r="L57" s="85">
        <v>49686</v>
      </c>
    </row>
    <row r="58" spans="1:12" s="504" customFormat="1" ht="9.75" customHeight="1">
      <c r="A58" s="418" t="s">
        <v>1711</v>
      </c>
      <c r="B58" s="16">
        <v>12</v>
      </c>
      <c r="C58" s="16">
        <v>35</v>
      </c>
      <c r="D58" s="452">
        <v>4</v>
      </c>
      <c r="E58" s="55">
        <v>27054</v>
      </c>
      <c r="F58" s="110"/>
      <c r="G58" s="110"/>
      <c r="H58" s="418" t="s">
        <v>1716</v>
      </c>
      <c r="I58" s="16">
        <v>60</v>
      </c>
      <c r="J58" s="16">
        <v>38</v>
      </c>
      <c r="K58" s="502">
        <v>11</v>
      </c>
      <c r="L58" s="85">
        <v>42700</v>
      </c>
    </row>
    <row r="59" spans="1:12" s="503" customFormat="1" ht="9.75" customHeight="1" thickBot="1">
      <c r="A59" s="493" t="s">
        <v>1713</v>
      </c>
      <c r="B59" s="17">
        <v>18</v>
      </c>
      <c r="C59" s="17">
        <v>56</v>
      </c>
      <c r="D59" s="454">
        <v>7.5</v>
      </c>
      <c r="E59" s="62">
        <v>36197</v>
      </c>
      <c r="F59" s="110"/>
      <c r="G59" s="110"/>
      <c r="H59" s="505" t="s">
        <v>1717</v>
      </c>
      <c r="I59" s="17">
        <v>60</v>
      </c>
      <c r="J59" s="17">
        <v>58</v>
      </c>
      <c r="K59" s="506">
        <v>18.5</v>
      </c>
      <c r="L59" s="455">
        <v>61180</v>
      </c>
    </row>
    <row r="60" spans="1:12" ht="23.25" customHeight="1">
      <c r="A60" s="2344" t="s">
        <v>2000</v>
      </c>
      <c r="B60" s="2344"/>
      <c r="C60" s="2344"/>
      <c r="D60" s="2344"/>
      <c r="E60" s="2344"/>
      <c r="F60" s="507"/>
      <c r="G60" s="507"/>
      <c r="H60" s="2340" t="s">
        <v>475</v>
      </c>
      <c r="I60" s="2340"/>
      <c r="J60" s="2340"/>
      <c r="K60" s="2340"/>
      <c r="L60" s="2340"/>
    </row>
    <row r="61" spans="1:12" ht="23.25" customHeight="1">
      <c r="A61" s="2336" t="s">
        <v>1910</v>
      </c>
      <c r="B61" s="2336"/>
      <c r="C61" s="2336"/>
      <c r="D61" s="2336"/>
      <c r="E61" s="2336"/>
      <c r="F61" s="91"/>
      <c r="G61" s="91"/>
      <c r="H61" s="2322" t="s">
        <v>1747</v>
      </c>
      <c r="I61" s="2322"/>
      <c r="J61" s="2322"/>
      <c r="K61" s="2322"/>
      <c r="L61" s="2322"/>
    </row>
    <row r="62" spans="1:12" ht="10.5" customHeight="1" thickBot="1">
      <c r="A62" s="2341" t="s">
        <v>67</v>
      </c>
      <c r="B62" s="2342"/>
      <c r="C62" s="87"/>
      <c r="D62" s="479"/>
      <c r="E62" s="91"/>
      <c r="F62" s="87"/>
      <c r="G62" s="87"/>
      <c r="H62" s="479" t="s">
        <v>1794</v>
      </c>
      <c r="I62" s="87"/>
      <c r="J62" s="87"/>
      <c r="K62" s="87"/>
      <c r="L62" s="91"/>
    </row>
    <row r="63" spans="1:12" ht="9.75" customHeight="1" thickBot="1">
      <c r="A63" s="500" t="s">
        <v>171</v>
      </c>
      <c r="B63" s="89" t="s">
        <v>399</v>
      </c>
      <c r="C63" s="481" t="s">
        <v>400</v>
      </c>
      <c r="D63" s="89" t="s">
        <v>401</v>
      </c>
      <c r="E63" s="488" t="s">
        <v>1969</v>
      </c>
      <c r="F63" s="97"/>
      <c r="G63" s="97"/>
      <c r="H63" s="500" t="s">
        <v>398</v>
      </c>
      <c r="I63" s="509" t="s">
        <v>399</v>
      </c>
      <c r="J63" s="89" t="s">
        <v>1964</v>
      </c>
      <c r="K63" s="89" t="s">
        <v>116</v>
      </c>
      <c r="L63" s="510" t="s">
        <v>696</v>
      </c>
    </row>
    <row r="64" spans="1:12" ht="9.75" customHeight="1">
      <c r="A64" s="417" t="s">
        <v>578</v>
      </c>
      <c r="B64" s="15">
        <v>14</v>
      </c>
      <c r="C64" s="15">
        <v>19</v>
      </c>
      <c r="D64" s="15" t="s">
        <v>802</v>
      </c>
      <c r="E64" s="53">
        <v>48313</v>
      </c>
      <c r="F64" s="87"/>
      <c r="G64" s="87"/>
      <c r="H64" s="437" t="s">
        <v>118</v>
      </c>
      <c r="I64" s="434">
        <v>20</v>
      </c>
      <c r="J64" s="434">
        <v>20</v>
      </c>
      <c r="K64" s="15">
        <v>4</v>
      </c>
      <c r="L64" s="53">
        <v>69692</v>
      </c>
    </row>
    <row r="65" spans="1:12" ht="9.75" customHeight="1">
      <c r="A65" s="421" t="s">
        <v>2013</v>
      </c>
      <c r="B65" s="16">
        <v>16</v>
      </c>
      <c r="C65" s="16">
        <v>29</v>
      </c>
      <c r="D65" s="16" t="s">
        <v>56</v>
      </c>
      <c r="E65" s="55">
        <v>52187</v>
      </c>
      <c r="F65" s="87"/>
      <c r="G65" s="87"/>
      <c r="H65" s="441" t="s">
        <v>119</v>
      </c>
      <c r="I65" s="438">
        <v>29</v>
      </c>
      <c r="J65" s="438">
        <v>31</v>
      </c>
      <c r="K65" s="16">
        <v>5.5</v>
      </c>
      <c r="L65" s="55">
        <v>77238</v>
      </c>
    </row>
    <row r="66" spans="1:12" ht="9.75" customHeight="1">
      <c r="A66" s="421" t="s">
        <v>2014</v>
      </c>
      <c r="B66" s="16">
        <v>30</v>
      </c>
      <c r="C66" s="16">
        <v>45</v>
      </c>
      <c r="D66" s="16" t="s">
        <v>484</v>
      </c>
      <c r="E66" s="55">
        <v>64516</v>
      </c>
      <c r="F66" s="87"/>
      <c r="G66" s="87"/>
      <c r="H66" s="441" t="s">
        <v>120</v>
      </c>
      <c r="I66" s="438">
        <v>29</v>
      </c>
      <c r="J66" s="438">
        <v>40</v>
      </c>
      <c r="K66" s="16">
        <v>7.5</v>
      </c>
      <c r="L66" s="55">
        <v>87398</v>
      </c>
    </row>
    <row r="67" spans="1:12" ht="9.75" customHeight="1">
      <c r="A67" s="421" t="s">
        <v>205</v>
      </c>
      <c r="B67" s="16">
        <v>40</v>
      </c>
      <c r="C67" s="16">
        <v>45</v>
      </c>
      <c r="D67" s="16" t="s">
        <v>204</v>
      </c>
      <c r="E67" s="55">
        <v>76601</v>
      </c>
      <c r="F67" s="87"/>
      <c r="G67" s="87"/>
      <c r="H67" s="441" t="s">
        <v>120</v>
      </c>
      <c r="I67" s="438">
        <v>36</v>
      </c>
      <c r="J67" s="438">
        <v>54</v>
      </c>
      <c r="K67" s="16">
        <v>15</v>
      </c>
      <c r="L67" s="55">
        <v>106182</v>
      </c>
    </row>
    <row r="68" spans="1:12" ht="9.75" customHeight="1">
      <c r="A68" s="421" t="s">
        <v>206</v>
      </c>
      <c r="B68" s="16">
        <v>30</v>
      </c>
      <c r="C68" s="16">
        <v>60</v>
      </c>
      <c r="D68" s="16" t="s">
        <v>760</v>
      </c>
      <c r="E68" s="55">
        <v>79880</v>
      </c>
      <c r="F68" s="87"/>
      <c r="G68" s="87"/>
      <c r="H68" s="441" t="s">
        <v>121</v>
      </c>
      <c r="I68" s="438">
        <v>50</v>
      </c>
      <c r="J68" s="438">
        <v>34</v>
      </c>
      <c r="K68" s="16">
        <v>11</v>
      </c>
      <c r="L68" s="55">
        <v>97936</v>
      </c>
    </row>
    <row r="69" spans="1:12" ht="9.75" customHeight="1">
      <c r="A69" s="421" t="s">
        <v>207</v>
      </c>
      <c r="B69" s="16">
        <v>50</v>
      </c>
      <c r="C69" s="16">
        <v>80</v>
      </c>
      <c r="D69" s="16" t="s">
        <v>761</v>
      </c>
      <c r="E69" s="55">
        <v>123803</v>
      </c>
      <c r="F69" s="87"/>
      <c r="G69" s="87"/>
      <c r="H69" s="441" t="s">
        <v>122</v>
      </c>
      <c r="I69" s="438">
        <v>60</v>
      </c>
      <c r="J69" s="438">
        <v>50</v>
      </c>
      <c r="K69" s="16">
        <v>18.5</v>
      </c>
      <c r="L69" s="55">
        <v>113551</v>
      </c>
    </row>
    <row r="70" spans="1:12" ht="9.75" customHeight="1">
      <c r="A70" s="421" t="s">
        <v>2015</v>
      </c>
      <c r="B70" s="16">
        <v>55</v>
      </c>
      <c r="C70" s="16">
        <v>33</v>
      </c>
      <c r="D70" s="16" t="s">
        <v>484</v>
      </c>
      <c r="E70" s="55">
        <v>63974</v>
      </c>
      <c r="F70" s="87"/>
      <c r="G70" s="87"/>
      <c r="H70" s="441" t="s">
        <v>123</v>
      </c>
      <c r="I70" s="438">
        <v>55</v>
      </c>
      <c r="J70" s="438">
        <v>60</v>
      </c>
      <c r="K70" s="16">
        <v>15</v>
      </c>
      <c r="L70" s="55">
        <v>112138</v>
      </c>
    </row>
    <row r="71" spans="1:12" ht="9.75" customHeight="1">
      <c r="A71" s="421" t="s">
        <v>2016</v>
      </c>
      <c r="B71" s="16">
        <v>64</v>
      </c>
      <c r="C71" s="16">
        <v>68</v>
      </c>
      <c r="D71" s="16" t="s">
        <v>759</v>
      </c>
      <c r="E71" s="55">
        <v>88415</v>
      </c>
      <c r="F71" s="87"/>
      <c r="G71" s="87"/>
      <c r="H71" s="441" t="s">
        <v>124</v>
      </c>
      <c r="I71" s="438">
        <v>80</v>
      </c>
      <c r="J71" s="438">
        <v>20</v>
      </c>
      <c r="K71" s="16">
        <v>7.5</v>
      </c>
      <c r="L71" s="55">
        <v>86832</v>
      </c>
    </row>
    <row r="72" spans="1:12" ht="9.75" customHeight="1">
      <c r="A72" s="421" t="s">
        <v>208</v>
      </c>
      <c r="B72" s="16">
        <v>100</v>
      </c>
      <c r="C72" s="16">
        <v>60</v>
      </c>
      <c r="D72" s="16" t="s">
        <v>487</v>
      </c>
      <c r="E72" s="55">
        <v>137432</v>
      </c>
      <c r="F72" s="87"/>
      <c r="G72" s="87"/>
      <c r="H72" s="441" t="s">
        <v>125</v>
      </c>
      <c r="I72" s="438">
        <v>90</v>
      </c>
      <c r="J72" s="438">
        <v>36</v>
      </c>
      <c r="K72" s="16">
        <v>18.5</v>
      </c>
      <c r="L72" s="55">
        <v>114806</v>
      </c>
    </row>
    <row r="73" spans="1:12" ht="9.75" customHeight="1">
      <c r="A73" s="421" t="s">
        <v>2017</v>
      </c>
      <c r="B73" s="16">
        <v>90</v>
      </c>
      <c r="C73" s="16">
        <v>30</v>
      </c>
      <c r="D73" s="16" t="s">
        <v>760</v>
      </c>
      <c r="E73" s="55">
        <v>76168</v>
      </c>
      <c r="F73" s="87"/>
      <c r="G73" s="87"/>
      <c r="H73" s="441" t="s">
        <v>126</v>
      </c>
      <c r="I73" s="438">
        <v>100</v>
      </c>
      <c r="J73" s="438">
        <v>74</v>
      </c>
      <c r="K73" s="16">
        <v>45</v>
      </c>
      <c r="L73" s="55">
        <v>201309</v>
      </c>
    </row>
    <row r="74" spans="1:12" ht="9.75" customHeight="1">
      <c r="A74" s="511" t="s">
        <v>2018</v>
      </c>
      <c r="B74" s="64">
        <v>100</v>
      </c>
      <c r="C74" s="64">
        <v>50</v>
      </c>
      <c r="D74" s="64" t="s">
        <v>761</v>
      </c>
      <c r="E74" s="55">
        <v>98441</v>
      </c>
      <c r="F74" s="87"/>
      <c r="G74" s="87"/>
      <c r="H74" s="441" t="s">
        <v>127</v>
      </c>
      <c r="I74" s="438">
        <v>118</v>
      </c>
      <c r="J74" s="438">
        <v>55</v>
      </c>
      <c r="K74" s="16">
        <v>30</v>
      </c>
      <c r="L74" s="55">
        <v>143846</v>
      </c>
    </row>
    <row r="75" spans="1:12" ht="9.75" customHeight="1">
      <c r="A75" s="418" t="s">
        <v>579</v>
      </c>
      <c r="B75" s="16">
        <v>130</v>
      </c>
      <c r="C75" s="16">
        <v>85</v>
      </c>
      <c r="D75" s="16" t="s">
        <v>488</v>
      </c>
      <c r="E75" s="55">
        <v>142093</v>
      </c>
      <c r="F75" s="87"/>
      <c r="G75" s="87"/>
      <c r="H75" s="441" t="s">
        <v>152</v>
      </c>
      <c r="I75" s="438">
        <v>180</v>
      </c>
      <c r="J75" s="438">
        <v>30</v>
      </c>
      <c r="K75" s="16">
        <v>30</v>
      </c>
      <c r="L75" s="55">
        <v>149142</v>
      </c>
    </row>
    <row r="76" spans="1:12" ht="9.75" customHeight="1">
      <c r="A76" s="418" t="s">
        <v>209</v>
      </c>
      <c r="B76" s="16">
        <v>210</v>
      </c>
      <c r="C76" s="16">
        <v>90</v>
      </c>
      <c r="D76" s="16" t="s">
        <v>763</v>
      </c>
      <c r="E76" s="55">
        <v>207097</v>
      </c>
      <c r="F76" s="87"/>
      <c r="G76" s="87"/>
      <c r="H76" s="441" t="s">
        <v>153</v>
      </c>
      <c r="I76" s="438">
        <v>200</v>
      </c>
      <c r="J76" s="438">
        <v>58</v>
      </c>
      <c r="K76" s="16">
        <v>75</v>
      </c>
      <c r="L76" s="55">
        <v>296297</v>
      </c>
    </row>
    <row r="77" spans="1:12" ht="9.75" customHeight="1">
      <c r="A77" s="418" t="s">
        <v>210</v>
      </c>
      <c r="B77" s="16">
        <v>280</v>
      </c>
      <c r="C77" s="16">
        <v>75</v>
      </c>
      <c r="D77" s="16" t="s">
        <v>764</v>
      </c>
      <c r="E77" s="55">
        <v>246332</v>
      </c>
      <c r="F77" s="87"/>
      <c r="G77" s="87"/>
      <c r="H77" s="441" t="s">
        <v>154</v>
      </c>
      <c r="I77" s="438">
        <v>220</v>
      </c>
      <c r="J77" s="438">
        <v>90</v>
      </c>
      <c r="K77" s="16">
        <v>90</v>
      </c>
      <c r="L77" s="55">
        <v>350901</v>
      </c>
    </row>
    <row r="78" spans="1:13" ht="9.75" customHeight="1">
      <c r="A78" s="418" t="s">
        <v>211</v>
      </c>
      <c r="B78" s="16">
        <v>230</v>
      </c>
      <c r="C78" s="16">
        <v>34</v>
      </c>
      <c r="D78" s="16" t="s">
        <v>1750</v>
      </c>
      <c r="E78" s="55">
        <v>183253</v>
      </c>
      <c r="F78" s="87"/>
      <c r="G78" s="87"/>
      <c r="H78" s="441" t="s">
        <v>155</v>
      </c>
      <c r="I78" s="438">
        <v>260</v>
      </c>
      <c r="J78" s="438">
        <v>37</v>
      </c>
      <c r="K78" s="16">
        <v>45</v>
      </c>
      <c r="L78" s="55">
        <v>212273</v>
      </c>
      <c r="M78" s="512"/>
    </row>
    <row r="79" spans="1:13" ht="9.75" customHeight="1">
      <c r="A79" s="418" t="s">
        <v>212</v>
      </c>
      <c r="B79" s="16">
        <v>320</v>
      </c>
      <c r="C79" s="16">
        <v>58</v>
      </c>
      <c r="D79" s="16" t="s">
        <v>716</v>
      </c>
      <c r="E79" s="55">
        <v>278902</v>
      </c>
      <c r="F79" s="87"/>
      <c r="G79" s="87"/>
      <c r="H79" s="441" t="s">
        <v>155</v>
      </c>
      <c r="I79" s="438">
        <v>320</v>
      </c>
      <c r="J79" s="438">
        <v>55</v>
      </c>
      <c r="K79" s="16">
        <v>90</v>
      </c>
      <c r="L79" s="55">
        <v>347856</v>
      </c>
      <c r="M79" s="512"/>
    </row>
    <row r="80" spans="1:13" ht="9.75" customHeight="1" thickBot="1">
      <c r="A80" s="493" t="s">
        <v>213</v>
      </c>
      <c r="B80" s="17">
        <v>450</v>
      </c>
      <c r="C80" s="17">
        <v>48</v>
      </c>
      <c r="D80" s="17" t="s">
        <v>716</v>
      </c>
      <c r="E80" s="62">
        <v>292044</v>
      </c>
      <c r="F80" s="87"/>
      <c r="G80" s="87"/>
      <c r="H80" s="445" t="s">
        <v>156</v>
      </c>
      <c r="I80" s="442">
        <v>300</v>
      </c>
      <c r="J80" s="442">
        <v>80</v>
      </c>
      <c r="K80" s="17">
        <v>110</v>
      </c>
      <c r="L80" s="62">
        <v>346883</v>
      </c>
      <c r="M80" s="512"/>
    </row>
    <row r="81" spans="1:13" ht="15.75" customHeight="1" thickTop="1">
      <c r="A81" s="2303" t="s">
        <v>1800</v>
      </c>
      <c r="B81" s="2303"/>
      <c r="C81" s="2303"/>
      <c r="D81" s="2303"/>
      <c r="E81" s="2303"/>
      <c r="F81" s="2339"/>
      <c r="G81" s="2303"/>
      <c r="H81" s="2303"/>
      <c r="I81" s="2303"/>
      <c r="J81" s="2303"/>
      <c r="K81" s="2303"/>
      <c r="L81" s="2303"/>
      <c r="M81" s="315"/>
    </row>
    <row r="82" spans="1:13" ht="10.5" customHeight="1">
      <c r="A82" s="2335" t="s">
        <v>2010</v>
      </c>
      <c r="B82" s="2335"/>
      <c r="C82" s="2335"/>
      <c r="D82" s="2335"/>
      <c r="E82" s="2335"/>
      <c r="F82" s="2335"/>
      <c r="G82" s="2335"/>
      <c r="H82" s="2335"/>
      <c r="I82" s="2335"/>
      <c r="J82" s="2335"/>
      <c r="K82" s="2335"/>
      <c r="L82" s="2335"/>
      <c r="M82" s="513"/>
    </row>
    <row r="83" spans="1:13" ht="10.5" customHeight="1">
      <c r="A83" s="2335" t="s">
        <v>2011</v>
      </c>
      <c r="B83" s="2335"/>
      <c r="C83" s="2335"/>
      <c r="D83" s="2335"/>
      <c r="E83" s="2335"/>
      <c r="F83" s="2335"/>
      <c r="G83" s="2335"/>
      <c r="H83" s="2335"/>
      <c r="I83" s="2335"/>
      <c r="J83" s="2335"/>
      <c r="K83" s="2335"/>
      <c r="L83" s="2335"/>
      <c r="M83" s="513"/>
    </row>
    <row r="84" spans="1:13" ht="10.5" customHeight="1" thickBot="1">
      <c r="A84" s="495" t="s">
        <v>1790</v>
      </c>
      <c r="B84" s="87"/>
      <c r="C84" s="87"/>
      <c r="D84" s="87"/>
      <c r="E84" s="91"/>
      <c r="F84" s="68"/>
      <c r="G84" s="68"/>
      <c r="H84" s="479" t="s">
        <v>1791</v>
      </c>
      <c r="I84" s="87"/>
      <c r="J84" s="87"/>
      <c r="K84" s="87"/>
      <c r="L84" s="91"/>
      <c r="M84" s="74"/>
    </row>
    <row r="85" spans="1:13" ht="10.5" customHeight="1" thickBot="1">
      <c r="A85" s="514" t="s">
        <v>398</v>
      </c>
      <c r="B85" s="515" t="s">
        <v>1963</v>
      </c>
      <c r="C85" s="516" t="s">
        <v>1964</v>
      </c>
      <c r="D85" s="393" t="s">
        <v>1967</v>
      </c>
      <c r="E85" s="517" t="s">
        <v>1969</v>
      </c>
      <c r="F85" s="413"/>
      <c r="G85" s="413"/>
      <c r="H85" s="514" t="s">
        <v>398</v>
      </c>
      <c r="I85" s="515" t="s">
        <v>1963</v>
      </c>
      <c r="J85" s="516" t="s">
        <v>1964</v>
      </c>
      <c r="K85" s="393" t="s">
        <v>1967</v>
      </c>
      <c r="L85" s="517" t="s">
        <v>1969</v>
      </c>
      <c r="M85" s="518"/>
    </row>
    <row r="86" spans="1:13" s="503" customFormat="1" ht="10.5" customHeight="1">
      <c r="A86" s="414" t="s">
        <v>2002</v>
      </c>
      <c r="B86" s="15">
        <v>2</v>
      </c>
      <c r="C86" s="15">
        <v>22</v>
      </c>
      <c r="D86" s="15">
        <v>0.65</v>
      </c>
      <c r="E86" s="53">
        <v>8013</v>
      </c>
      <c r="F86" s="77"/>
      <c r="G86" s="77"/>
      <c r="H86" s="519" t="s">
        <v>1792</v>
      </c>
      <c r="I86" s="15">
        <v>2</v>
      </c>
      <c r="J86" s="15">
        <v>30</v>
      </c>
      <c r="K86" s="15">
        <v>0.775</v>
      </c>
      <c r="L86" s="53">
        <v>9980</v>
      </c>
      <c r="M86" s="520"/>
    </row>
    <row r="87" spans="1:13" s="503" customFormat="1" ht="10.5" customHeight="1" thickBot="1">
      <c r="A87" s="493" t="s">
        <v>2006</v>
      </c>
      <c r="B87" s="17">
        <v>2</v>
      </c>
      <c r="C87" s="17">
        <v>28</v>
      </c>
      <c r="D87" s="17">
        <v>0.75</v>
      </c>
      <c r="E87" s="62">
        <v>8903</v>
      </c>
      <c r="F87" s="80"/>
      <c r="G87" s="80"/>
      <c r="H87" s="521" t="s">
        <v>1793</v>
      </c>
      <c r="I87" s="17">
        <v>2.5</v>
      </c>
      <c r="J87" s="17">
        <v>40</v>
      </c>
      <c r="K87" s="17">
        <v>1.4</v>
      </c>
      <c r="L87" s="62">
        <v>12205</v>
      </c>
      <c r="M87" s="520"/>
    </row>
    <row r="88" spans="1:13" s="503" customFormat="1" ht="10.5" customHeight="1" thickBot="1">
      <c r="A88" s="522" t="s">
        <v>1794</v>
      </c>
      <c r="B88" s="110"/>
      <c r="C88" s="110"/>
      <c r="D88" s="110"/>
      <c r="E88" s="523"/>
      <c r="F88" s="77"/>
      <c r="G88" s="77"/>
      <c r="H88" s="522" t="s">
        <v>1795</v>
      </c>
      <c r="I88" s="110"/>
      <c r="J88" s="110"/>
      <c r="K88" s="110"/>
      <c r="L88" s="523"/>
      <c r="M88" s="66"/>
    </row>
    <row r="89" spans="1:13" ht="10.5" customHeight="1" thickBot="1">
      <c r="A89" s="514" t="s">
        <v>398</v>
      </c>
      <c r="B89" s="515" t="s">
        <v>1963</v>
      </c>
      <c r="C89" s="516" t="s">
        <v>1964</v>
      </c>
      <c r="D89" s="393" t="s">
        <v>1967</v>
      </c>
      <c r="E89" s="517" t="s">
        <v>939</v>
      </c>
      <c r="F89" s="413"/>
      <c r="G89" s="413"/>
      <c r="H89" s="514" t="s">
        <v>398</v>
      </c>
      <c r="I89" s="515" t="s">
        <v>1963</v>
      </c>
      <c r="J89" s="516" t="s">
        <v>1964</v>
      </c>
      <c r="K89" s="393" t="s">
        <v>1967</v>
      </c>
      <c r="L89" s="517" t="s">
        <v>1969</v>
      </c>
      <c r="M89" s="518"/>
    </row>
    <row r="90" spans="1:13" s="503" customFormat="1" ht="10.5" customHeight="1">
      <c r="A90" s="417" t="s">
        <v>1798</v>
      </c>
      <c r="B90" s="15">
        <v>2.5</v>
      </c>
      <c r="C90" s="15">
        <v>25</v>
      </c>
      <c r="D90" s="15">
        <v>0.7</v>
      </c>
      <c r="E90" s="53">
        <v>3335</v>
      </c>
      <c r="F90" s="77"/>
      <c r="G90" s="77"/>
      <c r="H90" s="519" t="s">
        <v>1797</v>
      </c>
      <c r="I90" s="15">
        <v>2.5</v>
      </c>
      <c r="J90" s="15">
        <v>20</v>
      </c>
      <c r="K90" s="15">
        <v>0.45</v>
      </c>
      <c r="L90" s="53">
        <f>7722*1.07</f>
        <v>8262.54</v>
      </c>
      <c r="M90" s="520"/>
    </row>
    <row r="91" spans="1:13" s="503" customFormat="1" ht="10.5" customHeight="1" thickBot="1">
      <c r="A91" s="426" t="s">
        <v>1796</v>
      </c>
      <c r="B91" s="17">
        <v>3</v>
      </c>
      <c r="C91" s="17">
        <v>25</v>
      </c>
      <c r="D91" s="17">
        <v>1.1</v>
      </c>
      <c r="E91" s="62">
        <v>5881</v>
      </c>
      <c r="F91" s="80"/>
      <c r="G91" s="80"/>
      <c r="H91" s="521" t="s">
        <v>1799</v>
      </c>
      <c r="I91" s="17">
        <v>3.9</v>
      </c>
      <c r="J91" s="17">
        <v>25</v>
      </c>
      <c r="K91" s="17">
        <v>0.75</v>
      </c>
      <c r="L91" s="62">
        <f>9126*1.07</f>
        <v>9764.82</v>
      </c>
      <c r="M91" s="520"/>
    </row>
    <row r="92" spans="1:13" ht="48.75" customHeight="1">
      <c r="A92" s="2333" t="s">
        <v>771</v>
      </c>
      <c r="B92" s="2333"/>
      <c r="C92" s="2333"/>
      <c r="D92" s="2333"/>
      <c r="E92" s="2333"/>
      <c r="F92" s="2333"/>
      <c r="G92" s="2333"/>
      <c r="H92" s="2333"/>
      <c r="I92" s="2333"/>
      <c r="J92" s="2333"/>
      <c r="K92" s="2333"/>
      <c r="L92" s="2333"/>
      <c r="M92" s="512"/>
    </row>
    <row r="93" spans="1:12" ht="10.5" customHeight="1">
      <c r="A93" s="106" t="s">
        <v>194</v>
      </c>
      <c r="B93" s="524"/>
      <c r="C93" s="524"/>
      <c r="D93" s="524"/>
      <c r="E93" s="524"/>
      <c r="F93" s="524"/>
      <c r="G93" s="524"/>
      <c r="H93" s="524"/>
      <c r="I93" s="524"/>
      <c r="J93" s="524"/>
      <c r="K93" s="524"/>
      <c r="L93" s="525" t="s">
        <v>628</v>
      </c>
    </row>
    <row r="94" spans="1:12" s="497" customFormat="1" ht="9.75" customHeight="1">
      <c r="A94" s="87"/>
      <c r="B94" s="494"/>
      <c r="C94" s="494"/>
      <c r="D94" s="494"/>
      <c r="E94" s="508"/>
      <c r="F94" s="494"/>
      <c r="G94" s="494"/>
      <c r="H94" s="494"/>
      <c r="I94" s="494"/>
      <c r="J94" s="494"/>
      <c r="K94" s="494"/>
      <c r="L94" s="508"/>
    </row>
    <row r="95" spans="1:12" ht="11.25" customHeight="1">
      <c r="A95" s="2335"/>
      <c r="B95" s="2335"/>
      <c r="C95" s="2335"/>
      <c r="D95" s="2335"/>
      <c r="E95" s="2335"/>
      <c r="F95" s="2335"/>
      <c r="G95" s="2335"/>
      <c r="H95" s="2335"/>
      <c r="I95" s="2335"/>
      <c r="J95" s="2335"/>
      <c r="K95" s="2335"/>
      <c r="L95" s="2335"/>
    </row>
    <row r="96" spans="1:12" ht="11.25" customHeight="1">
      <c r="A96" s="2335"/>
      <c r="B96" s="2335"/>
      <c r="C96" s="2335"/>
      <c r="D96" s="2335"/>
      <c r="E96" s="2335"/>
      <c r="F96" s="2335"/>
      <c r="G96" s="2335"/>
      <c r="H96" s="2335"/>
      <c r="I96" s="2335"/>
      <c r="J96" s="2335"/>
      <c r="K96" s="2335"/>
      <c r="L96" s="2335"/>
    </row>
    <row r="97" spans="1:12" ht="9.75" customHeight="1">
      <c r="A97" s="495"/>
      <c r="B97" s="52"/>
      <c r="C97" s="52"/>
      <c r="D97" s="52"/>
      <c r="E97" s="74"/>
      <c r="F97" s="68"/>
      <c r="G97" s="68"/>
      <c r="H97" s="49"/>
      <c r="I97" s="52"/>
      <c r="J97" s="52"/>
      <c r="K97" s="52"/>
      <c r="L97" s="74"/>
    </row>
    <row r="98" spans="1:12" s="497" customFormat="1" ht="9.75" customHeight="1">
      <c r="A98" s="526"/>
      <c r="B98" s="526"/>
      <c r="C98" s="526"/>
      <c r="D98" s="413"/>
      <c r="E98" s="527"/>
      <c r="F98" s="413"/>
      <c r="G98" s="413"/>
      <c r="H98" s="526"/>
      <c r="I98" s="526"/>
      <c r="J98" s="526"/>
      <c r="K98" s="413"/>
      <c r="L98" s="527"/>
    </row>
    <row r="99" spans="1:12" ht="9.75" customHeight="1">
      <c r="A99" s="297"/>
      <c r="B99" s="68"/>
      <c r="C99" s="68"/>
      <c r="D99" s="68"/>
      <c r="E99" s="66"/>
      <c r="F99" s="68"/>
      <c r="G99" s="68"/>
      <c r="H99" s="289"/>
      <c r="I99" s="77"/>
      <c r="J99" s="77"/>
      <c r="K99" s="77"/>
      <c r="L99" s="66"/>
    </row>
    <row r="100" spans="1:12" ht="9.75" customHeight="1">
      <c r="A100" s="297"/>
      <c r="B100" s="68"/>
      <c r="C100" s="68"/>
      <c r="D100" s="68"/>
      <c r="E100" s="66"/>
      <c r="F100" s="52"/>
      <c r="G100" s="52"/>
      <c r="H100" s="289"/>
      <c r="I100" s="77"/>
      <c r="J100" s="77"/>
      <c r="K100" s="77"/>
      <c r="L100" s="66"/>
    </row>
    <row r="101" spans="1:12" ht="9.75" customHeight="1">
      <c r="A101" s="495"/>
      <c r="B101" s="52"/>
      <c r="C101" s="52"/>
      <c r="D101" s="52"/>
      <c r="E101" s="74"/>
      <c r="F101" s="68"/>
      <c r="G101" s="68"/>
      <c r="H101" s="495"/>
      <c r="I101" s="52"/>
      <c r="J101" s="52"/>
      <c r="K101" s="52"/>
      <c r="L101" s="74"/>
    </row>
    <row r="102" spans="1:12" ht="9.75" customHeight="1">
      <c r="A102" s="526"/>
      <c r="B102" s="526"/>
      <c r="C102" s="526"/>
      <c r="D102" s="413"/>
      <c r="E102" s="527"/>
      <c r="F102" s="413"/>
      <c r="G102" s="413"/>
      <c r="H102" s="526"/>
      <c r="I102" s="526"/>
      <c r="J102" s="526"/>
      <c r="K102" s="413"/>
      <c r="L102" s="527"/>
    </row>
    <row r="103" spans="1:12" ht="9.75" customHeight="1">
      <c r="A103" s="52"/>
      <c r="B103" s="68"/>
      <c r="C103" s="68"/>
      <c r="D103" s="68"/>
      <c r="E103" s="74"/>
      <c r="F103" s="68"/>
      <c r="G103" s="68"/>
      <c r="H103" s="528"/>
      <c r="I103" s="68"/>
      <c r="J103" s="68"/>
      <c r="K103" s="68"/>
      <c r="L103" s="74"/>
    </row>
    <row r="104" spans="1:12" s="497" customFormat="1" ht="9.75" customHeight="1">
      <c r="A104" s="52"/>
      <c r="B104" s="68"/>
      <c r="C104" s="68"/>
      <c r="D104" s="68"/>
      <c r="E104" s="74"/>
      <c r="F104" s="52"/>
      <c r="G104" s="52"/>
      <c r="H104" s="528"/>
      <c r="I104" s="68"/>
      <c r="J104" s="68"/>
      <c r="K104" s="68"/>
      <c r="L104" s="74"/>
    </row>
    <row r="105" spans="1:12" ht="9.75" customHeight="1">
      <c r="A105" s="2336"/>
      <c r="B105" s="2336"/>
      <c r="C105" s="2336"/>
      <c r="D105" s="2336"/>
      <c r="E105" s="2336"/>
      <c r="F105" s="2336"/>
      <c r="G105" s="2336"/>
      <c r="H105" s="2336"/>
      <c r="I105" s="2336"/>
      <c r="J105" s="2336"/>
      <c r="K105" s="2336"/>
      <c r="L105" s="2336"/>
    </row>
    <row r="106" spans="1:12" ht="9.75" customHeight="1">
      <c r="A106" s="2323"/>
      <c r="B106" s="2323"/>
      <c r="C106" s="2323"/>
      <c r="D106" s="2323"/>
      <c r="E106" s="2323"/>
      <c r="F106" s="2323"/>
      <c r="G106" s="2323"/>
      <c r="H106" s="2323"/>
      <c r="I106" s="2323"/>
      <c r="J106" s="2323"/>
      <c r="K106" s="2323"/>
      <c r="L106" s="2323"/>
    </row>
    <row r="107" spans="1:12" ht="9.75" customHeight="1">
      <c r="A107" s="495"/>
      <c r="B107" s="52"/>
      <c r="C107" s="52"/>
      <c r="D107" s="52"/>
      <c r="E107" s="74"/>
      <c r="F107" s="52"/>
      <c r="G107" s="52"/>
      <c r="H107" s="413"/>
      <c r="I107" s="413"/>
      <c r="J107" s="413"/>
      <c r="K107" s="413"/>
      <c r="L107" s="529"/>
    </row>
    <row r="108" spans="1:12" ht="9.75" customHeight="1">
      <c r="A108" s="413"/>
      <c r="B108" s="413"/>
      <c r="C108" s="413"/>
      <c r="D108" s="413"/>
      <c r="E108" s="529"/>
      <c r="F108" s="68"/>
      <c r="G108" s="68"/>
      <c r="H108" s="317"/>
      <c r="I108" s="462"/>
      <c r="J108" s="77"/>
      <c r="K108" s="301"/>
      <c r="L108" s="66"/>
    </row>
    <row r="109" spans="1:12" ht="9.75" customHeight="1">
      <c r="A109" s="317"/>
      <c r="B109" s="462"/>
      <c r="C109" s="77"/>
      <c r="D109" s="301"/>
      <c r="E109" s="51"/>
      <c r="F109" s="52"/>
      <c r="G109" s="52"/>
      <c r="H109" s="317"/>
      <c r="I109" s="462"/>
      <c r="J109" s="77"/>
      <c r="K109" s="301"/>
      <c r="L109" s="66"/>
    </row>
    <row r="110" spans="1:12" ht="9.75" customHeight="1">
      <c r="A110" s="317"/>
      <c r="B110" s="462"/>
      <c r="C110" s="77"/>
      <c r="D110" s="301"/>
      <c r="E110" s="51"/>
      <c r="F110" s="52"/>
      <c r="G110" s="52"/>
      <c r="H110" s="317"/>
      <c r="I110" s="462"/>
      <c r="J110" s="77"/>
      <c r="K110" s="301"/>
      <c r="L110" s="66"/>
    </row>
    <row r="111" spans="1:12" ht="9.75" customHeight="1">
      <c r="A111" s="317"/>
      <c r="B111" s="462"/>
      <c r="C111" s="77"/>
      <c r="D111" s="301"/>
      <c r="E111" s="51"/>
      <c r="F111" s="73"/>
      <c r="G111" s="73"/>
      <c r="H111" s="317"/>
      <c r="I111" s="462"/>
      <c r="J111" s="77"/>
      <c r="K111" s="301"/>
      <c r="L111" s="66"/>
    </row>
    <row r="112" spans="1:12" ht="9.75" customHeight="1">
      <c r="A112" s="49"/>
      <c r="B112" s="52"/>
      <c r="C112" s="52"/>
      <c r="D112" s="52"/>
      <c r="E112" s="74"/>
      <c r="F112" s="52"/>
      <c r="G112" s="52"/>
      <c r="H112" s="495"/>
      <c r="I112" s="52"/>
      <c r="J112" s="52"/>
      <c r="K112" s="52"/>
      <c r="L112" s="74"/>
    </row>
    <row r="113" spans="1:12" s="497" customFormat="1" ht="9.75" customHeight="1">
      <c r="A113" s="413"/>
      <c r="B113" s="413"/>
      <c r="C113" s="413"/>
      <c r="D113" s="413"/>
      <c r="E113" s="529"/>
      <c r="F113" s="413"/>
      <c r="G113" s="413"/>
      <c r="H113" s="413"/>
      <c r="I113" s="413"/>
      <c r="J113" s="413"/>
      <c r="K113" s="413"/>
      <c r="L113" s="529"/>
    </row>
    <row r="114" spans="1:12" ht="9.75" customHeight="1">
      <c r="A114" s="317"/>
      <c r="B114" s="77"/>
      <c r="C114" s="77"/>
      <c r="D114" s="77"/>
      <c r="E114" s="66"/>
      <c r="F114" s="80"/>
      <c r="G114" s="80"/>
      <c r="H114" s="317"/>
      <c r="I114" s="77"/>
      <c r="J114" s="77"/>
      <c r="K114" s="301"/>
      <c r="L114" s="66"/>
    </row>
    <row r="115" spans="1:12" ht="9.75" customHeight="1">
      <c r="A115" s="317"/>
      <c r="B115" s="77"/>
      <c r="C115" s="77"/>
      <c r="D115" s="77"/>
      <c r="E115" s="530"/>
      <c r="F115" s="80"/>
      <c r="G115" s="80"/>
      <c r="H115" s="317"/>
      <c r="I115" s="77"/>
      <c r="J115" s="77"/>
      <c r="K115" s="301"/>
      <c r="L115" s="66"/>
    </row>
    <row r="116" spans="1:12" ht="9.75" customHeight="1">
      <c r="A116" s="317"/>
      <c r="B116" s="77"/>
      <c r="C116" s="77"/>
      <c r="D116" s="77"/>
      <c r="E116" s="66"/>
      <c r="F116" s="80"/>
      <c r="G116" s="80"/>
      <c r="H116" s="317"/>
      <c r="I116" s="77"/>
      <c r="J116" s="77"/>
      <c r="K116" s="301"/>
      <c r="L116" s="66"/>
    </row>
    <row r="117" spans="1:12" ht="9.75" customHeight="1">
      <c r="A117" s="317"/>
      <c r="B117" s="77"/>
      <c r="C117" s="77"/>
      <c r="D117" s="77"/>
      <c r="E117" s="66"/>
      <c r="F117" s="80"/>
      <c r="G117" s="80"/>
      <c r="H117" s="317"/>
      <c r="I117" s="77"/>
      <c r="J117" s="77"/>
      <c r="K117" s="301"/>
      <c r="L117" s="66"/>
    </row>
    <row r="118" spans="1:12" ht="9.75" customHeight="1">
      <c r="A118" s="317"/>
      <c r="B118" s="77"/>
      <c r="C118" s="77"/>
      <c r="D118" s="77"/>
      <c r="E118" s="66"/>
      <c r="F118" s="80"/>
      <c r="G118" s="80"/>
      <c r="H118" s="317"/>
      <c r="I118" s="77"/>
      <c r="J118" s="77"/>
      <c r="K118" s="301"/>
      <c r="L118" s="66"/>
    </row>
    <row r="119" spans="1:12" ht="9.75" customHeight="1">
      <c r="A119" s="317"/>
      <c r="B119" s="77"/>
      <c r="C119" s="77"/>
      <c r="D119" s="77"/>
      <c r="E119" s="66"/>
      <c r="F119" s="80"/>
      <c r="G119" s="80"/>
      <c r="H119" s="317"/>
      <c r="I119" s="77"/>
      <c r="J119" s="77"/>
      <c r="K119" s="301"/>
      <c r="L119" s="66"/>
    </row>
    <row r="120" spans="1:12" ht="9.75" customHeight="1">
      <c r="A120" s="317"/>
      <c r="B120" s="77"/>
      <c r="C120" s="77"/>
      <c r="D120" s="77"/>
      <c r="E120" s="66"/>
      <c r="F120" s="80"/>
      <c r="G120" s="80"/>
      <c r="H120" s="317"/>
      <c r="I120" s="77"/>
      <c r="J120" s="77"/>
      <c r="K120" s="301"/>
      <c r="L120" s="66"/>
    </row>
    <row r="121" spans="1:12" ht="9.75" customHeight="1">
      <c r="A121" s="52"/>
      <c r="B121" s="52"/>
      <c r="C121" s="52"/>
      <c r="D121" s="495"/>
      <c r="E121" s="74"/>
      <c r="F121" s="52"/>
      <c r="G121" s="52"/>
      <c r="H121" s="73"/>
      <c r="I121" s="73"/>
      <c r="J121" s="73"/>
      <c r="K121" s="73"/>
      <c r="L121" s="48"/>
    </row>
    <row r="122" spans="1:12" ht="9.75" customHeight="1">
      <c r="A122" s="2324"/>
      <c r="B122" s="2324"/>
      <c r="C122" s="2324"/>
      <c r="D122" s="2324"/>
      <c r="E122" s="2324"/>
      <c r="F122" s="2324"/>
      <c r="G122" s="2324"/>
      <c r="H122" s="2324"/>
      <c r="I122" s="2324"/>
      <c r="J122" s="2324"/>
      <c r="K122" s="2324"/>
      <c r="L122" s="2324"/>
    </row>
    <row r="123" spans="1:12" ht="9.75" customHeight="1">
      <c r="A123" s="2324"/>
      <c r="B123" s="2324"/>
      <c r="C123" s="2324"/>
      <c r="D123" s="2324"/>
      <c r="E123" s="2324"/>
      <c r="F123" s="2324"/>
      <c r="G123" s="2324"/>
      <c r="H123" s="2324"/>
      <c r="I123" s="2324"/>
      <c r="J123" s="2324"/>
      <c r="K123" s="2324"/>
      <c r="L123" s="2324"/>
    </row>
    <row r="124" spans="1:12" ht="9.75" customHeight="1">
      <c r="A124" s="2324"/>
      <c r="B124" s="2324"/>
      <c r="C124" s="2324"/>
      <c r="D124" s="2324"/>
      <c r="E124" s="2324"/>
      <c r="F124" s="2324"/>
      <c r="G124" s="2324"/>
      <c r="H124" s="2324"/>
      <c r="I124" s="2324"/>
      <c r="J124" s="2324"/>
      <c r="K124" s="2324"/>
      <c r="L124" s="2324"/>
    </row>
    <row r="125" spans="1:12" ht="9.75" customHeight="1">
      <c r="A125" s="495"/>
      <c r="B125" s="52"/>
      <c r="C125" s="52"/>
      <c r="D125" s="52"/>
      <c r="E125" s="74"/>
      <c r="F125" s="52"/>
      <c r="G125" s="52"/>
      <c r="H125" s="49"/>
      <c r="I125" s="52"/>
      <c r="J125" s="52"/>
      <c r="K125" s="52"/>
      <c r="L125" s="74"/>
    </row>
    <row r="126" spans="1:12" s="497" customFormat="1" ht="9.75" customHeight="1">
      <c r="A126" s="413"/>
      <c r="B126" s="413"/>
      <c r="C126" s="413"/>
      <c r="D126" s="413"/>
      <c r="E126" s="529"/>
      <c r="F126" s="413"/>
      <c r="G126" s="413"/>
      <c r="H126" s="413"/>
      <c r="I126" s="413"/>
      <c r="J126" s="413"/>
      <c r="K126" s="413"/>
      <c r="L126" s="529"/>
    </row>
    <row r="127" spans="1:12" s="503" customFormat="1" ht="9.75" customHeight="1">
      <c r="A127" s="311"/>
      <c r="B127" s="77"/>
      <c r="C127" s="77"/>
      <c r="D127" s="77"/>
      <c r="E127" s="66"/>
      <c r="F127" s="80"/>
      <c r="G127" s="80"/>
      <c r="H127" s="317"/>
      <c r="I127" s="77"/>
      <c r="J127" s="77"/>
      <c r="K127" s="77"/>
      <c r="L127" s="66"/>
    </row>
    <row r="128" spans="1:12" ht="9.75" customHeight="1">
      <c r="A128" s="52"/>
      <c r="B128" s="52"/>
      <c r="C128" s="495"/>
      <c r="D128" s="52"/>
      <c r="E128" s="74"/>
      <c r="F128" s="52"/>
      <c r="G128" s="52"/>
      <c r="H128" s="494"/>
      <c r="I128" s="494"/>
      <c r="J128" s="494"/>
      <c r="K128" s="494"/>
      <c r="L128" s="508"/>
    </row>
    <row r="129" spans="1:12" ht="9.75" customHeight="1">
      <c r="A129" s="49"/>
      <c r="B129" s="531"/>
      <c r="C129" s="52"/>
      <c r="D129" s="52"/>
      <c r="E129" s="74"/>
      <c r="F129" s="52"/>
      <c r="G129" s="52"/>
      <c r="H129" s="52"/>
      <c r="I129" s="52"/>
      <c r="J129" s="52"/>
      <c r="K129" s="52"/>
      <c r="L129" s="74"/>
    </row>
    <row r="130" spans="1:12" ht="9.75" customHeight="1">
      <c r="A130" s="495"/>
      <c r="B130" s="49"/>
      <c r="C130" s="52"/>
      <c r="D130" s="52"/>
      <c r="E130" s="74"/>
      <c r="F130" s="52"/>
      <c r="G130" s="52"/>
      <c r="H130" s="495"/>
      <c r="I130" s="49"/>
      <c r="J130" s="52"/>
      <c r="K130" s="52"/>
      <c r="L130" s="74"/>
    </row>
    <row r="131" spans="1:12" s="497" customFormat="1" ht="9.75" customHeight="1">
      <c r="A131" s="413"/>
      <c r="B131" s="413"/>
      <c r="C131" s="413"/>
      <c r="D131" s="413"/>
      <c r="E131" s="529"/>
      <c r="F131" s="413"/>
      <c r="G131" s="413"/>
      <c r="H131" s="413"/>
      <c r="I131" s="413"/>
      <c r="J131" s="413"/>
      <c r="K131" s="413"/>
      <c r="L131" s="529"/>
    </row>
    <row r="132" spans="1:12" ht="9.75" customHeight="1">
      <c r="A132" s="317"/>
      <c r="B132" s="77"/>
      <c r="C132" s="77"/>
      <c r="D132" s="77"/>
      <c r="E132" s="66"/>
      <c r="F132" s="300"/>
      <c r="G132" s="300"/>
      <c r="H132" s="311"/>
      <c r="I132" s="77"/>
      <c r="J132" s="77"/>
      <c r="K132" s="77"/>
      <c r="L132" s="66"/>
    </row>
    <row r="133" spans="1:12" ht="9.75" customHeight="1">
      <c r="A133" s="317"/>
      <c r="B133" s="77"/>
      <c r="C133" s="77"/>
      <c r="D133" s="77"/>
      <c r="E133" s="66"/>
      <c r="F133" s="80"/>
      <c r="G133" s="80"/>
      <c r="H133" s="311"/>
      <c r="I133" s="77"/>
      <c r="J133" s="77"/>
      <c r="K133" s="77"/>
      <c r="L133" s="66"/>
    </row>
    <row r="134" spans="1:12" ht="12.75" customHeight="1">
      <c r="A134" s="532"/>
      <c r="B134" s="52"/>
      <c r="C134" s="52"/>
      <c r="D134" s="49"/>
      <c r="E134" s="74"/>
      <c r="F134" s="494"/>
      <c r="G134" s="494"/>
      <c r="H134" s="52"/>
      <c r="I134" s="52"/>
      <c r="J134" s="52"/>
      <c r="K134" s="52"/>
      <c r="L134" s="74"/>
    </row>
    <row r="135" spans="1:12" ht="9.75" customHeight="1">
      <c r="A135" s="2334"/>
      <c r="B135" s="2325"/>
      <c r="C135" s="2325"/>
      <c r="D135" s="2325"/>
      <c r="E135" s="2325"/>
      <c r="F135" s="2325"/>
      <c r="G135" s="2325"/>
      <c r="H135" s="2325"/>
      <c r="I135" s="2325"/>
      <c r="J135" s="2325"/>
      <c r="K135" s="2325"/>
      <c r="L135" s="2325"/>
    </row>
    <row r="136" spans="1:12" ht="9.75" customHeight="1">
      <c r="A136" s="526"/>
      <c r="B136" s="526"/>
      <c r="C136" s="526"/>
      <c r="D136" s="413"/>
      <c r="E136" s="527"/>
      <c r="F136" s="413"/>
      <c r="G136" s="413"/>
      <c r="H136" s="526"/>
      <c r="I136" s="526"/>
      <c r="J136" s="526"/>
      <c r="K136" s="413"/>
      <c r="L136" s="527"/>
    </row>
    <row r="137" spans="1:12" ht="9.75" customHeight="1">
      <c r="A137" s="317"/>
      <c r="B137" s="76"/>
      <c r="C137" s="76"/>
      <c r="D137" s="77"/>
      <c r="E137" s="463"/>
      <c r="F137" s="80"/>
      <c r="G137" s="80"/>
      <c r="H137" s="80"/>
      <c r="I137" s="76"/>
      <c r="J137" s="76"/>
      <c r="K137" s="77"/>
      <c r="L137" s="463"/>
    </row>
    <row r="138" spans="1:12" ht="9.75" customHeight="1">
      <c r="A138" s="317"/>
      <c r="B138" s="76"/>
      <c r="C138" s="76"/>
      <c r="D138" s="77"/>
      <c r="E138" s="463"/>
      <c r="F138" s="80"/>
      <c r="G138" s="80"/>
      <c r="H138" s="80"/>
      <c r="I138" s="76"/>
      <c r="J138" s="76"/>
      <c r="K138" s="77"/>
      <c r="L138" s="463"/>
    </row>
    <row r="139" spans="1:12" ht="9.75" customHeight="1">
      <c r="A139" s="317"/>
      <c r="B139" s="76"/>
      <c r="C139" s="76"/>
      <c r="D139" s="77"/>
      <c r="E139" s="463"/>
      <c r="F139" s="80"/>
      <c r="G139" s="80"/>
      <c r="H139" s="80"/>
      <c r="I139" s="76"/>
      <c r="J139" s="76"/>
      <c r="K139" s="77"/>
      <c r="L139" s="463"/>
    </row>
    <row r="140" spans="1:12" ht="9.75" customHeight="1">
      <c r="A140" s="317"/>
      <c r="B140" s="76"/>
      <c r="C140" s="76"/>
      <c r="D140" s="77"/>
      <c r="E140" s="463"/>
      <c r="F140" s="80"/>
      <c r="G140" s="80"/>
      <c r="H140" s="80"/>
      <c r="I140" s="76"/>
      <c r="J140" s="76"/>
      <c r="K140" s="77"/>
      <c r="L140" s="463"/>
    </row>
    <row r="141" spans="1:12" ht="9.75" customHeight="1">
      <c r="A141" s="533"/>
      <c r="B141" s="81"/>
      <c r="C141" s="81"/>
      <c r="D141" s="81"/>
      <c r="E141" s="534"/>
      <c r="F141" s="81"/>
      <c r="G141" s="81"/>
      <c r="H141" s="81"/>
      <c r="I141" s="81"/>
      <c r="J141" s="81"/>
      <c r="K141" s="81"/>
      <c r="L141" s="534"/>
    </row>
    <row r="142" spans="1:12" ht="9.75" customHeight="1">
      <c r="A142" s="81"/>
      <c r="B142" s="81"/>
      <c r="C142" s="81"/>
      <c r="D142" s="81"/>
      <c r="E142" s="534"/>
      <c r="F142" s="81"/>
      <c r="G142" s="81"/>
      <c r="H142" s="81"/>
      <c r="I142" s="81"/>
      <c r="J142" s="81"/>
      <c r="K142" s="81"/>
      <c r="L142" s="534"/>
    </row>
    <row r="143" spans="1:12" ht="9.75" customHeight="1">
      <c r="A143" s="81"/>
      <c r="B143" s="81"/>
      <c r="C143" s="81"/>
      <c r="D143" s="81"/>
      <c r="E143" s="534"/>
      <c r="F143" s="81"/>
      <c r="G143" s="81"/>
      <c r="H143" s="81"/>
      <c r="I143" s="81"/>
      <c r="J143" s="81"/>
      <c r="K143" s="81"/>
      <c r="L143" s="534"/>
    </row>
    <row r="144" spans="1:12" ht="9.75" customHeight="1">
      <c r="A144" s="81"/>
      <c r="B144" s="81"/>
      <c r="C144" s="81"/>
      <c r="D144" s="81"/>
      <c r="E144" s="534"/>
      <c r="F144" s="81"/>
      <c r="G144" s="81"/>
      <c r="H144" s="81"/>
      <c r="I144" s="81"/>
      <c r="J144" s="81"/>
      <c r="K144" s="81"/>
      <c r="L144" s="534"/>
    </row>
    <row r="145" spans="1:12" ht="9.75" customHeight="1">
      <c r="A145" s="81"/>
      <c r="B145" s="81"/>
      <c r="C145" s="81"/>
      <c r="D145" s="81"/>
      <c r="E145" s="534"/>
      <c r="F145" s="81"/>
      <c r="G145" s="81"/>
      <c r="H145" s="81"/>
      <c r="I145" s="81"/>
      <c r="J145" s="81"/>
      <c r="K145" s="81"/>
      <c r="L145" s="534"/>
    </row>
    <row r="146" spans="1:12" ht="9.75" customHeight="1">
      <c r="A146" s="535"/>
      <c r="B146" s="536"/>
      <c r="C146" s="536"/>
      <c r="D146" s="536"/>
      <c r="E146" s="329"/>
      <c r="F146" s="81"/>
      <c r="G146" s="81"/>
      <c r="H146" s="81"/>
      <c r="I146" s="81"/>
      <c r="J146" s="81"/>
      <c r="K146" s="81"/>
      <c r="L146" s="534"/>
    </row>
    <row r="147" spans="1:12" ht="9.75" customHeight="1">
      <c r="A147" s="81"/>
      <c r="B147" s="81"/>
      <c r="C147" s="81"/>
      <c r="D147" s="81"/>
      <c r="E147" s="534"/>
      <c r="F147" s="81"/>
      <c r="G147" s="81"/>
      <c r="H147" s="81"/>
      <c r="I147" s="81"/>
      <c r="J147" s="81"/>
      <c r="K147" s="81"/>
      <c r="L147" s="534"/>
    </row>
    <row r="148" spans="1:12" ht="9" customHeight="1">
      <c r="A148" s="81"/>
      <c r="B148" s="81"/>
      <c r="C148" s="81"/>
      <c r="D148" s="81"/>
      <c r="E148" s="534"/>
      <c r="F148" s="81"/>
      <c r="G148" s="81"/>
      <c r="H148" s="81"/>
      <c r="I148" s="81"/>
      <c r="J148" s="81"/>
      <c r="K148" s="81"/>
      <c r="L148" s="534"/>
    </row>
    <row r="149" spans="1:12" ht="9" customHeight="1">
      <c r="A149" s="81"/>
      <c r="B149" s="81"/>
      <c r="C149" s="81"/>
      <c r="D149" s="81"/>
      <c r="E149" s="534"/>
      <c r="F149" s="81"/>
      <c r="G149" s="81"/>
      <c r="H149" s="81"/>
      <c r="I149" s="81"/>
      <c r="J149" s="81"/>
      <c r="K149" s="81"/>
      <c r="L149" s="534"/>
    </row>
    <row r="150" spans="1:12" ht="9" customHeight="1">
      <c r="A150" s="81"/>
      <c r="B150" s="81"/>
      <c r="C150" s="81"/>
      <c r="D150" s="81"/>
      <c r="E150" s="534"/>
      <c r="F150" s="81"/>
      <c r="G150" s="81"/>
      <c r="H150" s="81"/>
      <c r="I150" s="81"/>
      <c r="J150" s="81"/>
      <c r="K150" s="81"/>
      <c r="L150" s="534"/>
    </row>
    <row r="151" spans="1:12" ht="9" customHeight="1">
      <c r="A151" s="81"/>
      <c r="B151" s="81"/>
      <c r="C151" s="81"/>
      <c r="D151" s="81"/>
      <c r="E151" s="534"/>
      <c r="F151" s="81"/>
      <c r="G151" s="81"/>
      <c r="H151" s="81"/>
      <c r="I151" s="81"/>
      <c r="J151" s="81"/>
      <c r="K151" s="81"/>
      <c r="L151" s="534"/>
    </row>
    <row r="152" spans="1:12" ht="9" customHeight="1">
      <c r="A152" s="81"/>
      <c r="B152" s="81"/>
      <c r="C152" s="81"/>
      <c r="D152" s="81"/>
      <c r="E152" s="534"/>
      <c r="F152" s="81"/>
      <c r="G152" s="81"/>
      <c r="H152" s="81"/>
      <c r="I152" s="81"/>
      <c r="J152" s="81"/>
      <c r="K152" s="81"/>
      <c r="L152" s="534"/>
    </row>
    <row r="153" spans="1:12" ht="9" customHeight="1">
      <c r="A153" s="81"/>
      <c r="B153" s="81"/>
      <c r="C153" s="81"/>
      <c r="D153" s="81"/>
      <c r="E153" s="534"/>
      <c r="F153" s="81"/>
      <c r="G153" s="81"/>
      <c r="H153" s="81"/>
      <c r="I153" s="81"/>
      <c r="J153" s="81"/>
      <c r="K153" s="81"/>
      <c r="L153" s="534"/>
    </row>
    <row r="154" spans="1:12" ht="9" customHeight="1">
      <c r="A154" s="81"/>
      <c r="B154" s="81"/>
      <c r="C154" s="81"/>
      <c r="D154" s="81"/>
      <c r="E154" s="534"/>
      <c r="F154" s="81"/>
      <c r="G154" s="81"/>
      <c r="H154" s="81"/>
      <c r="I154" s="81"/>
      <c r="J154" s="81"/>
      <c r="K154" s="81"/>
      <c r="L154" s="534"/>
    </row>
    <row r="155" spans="1:12" ht="9" customHeight="1">
      <c r="A155" s="81"/>
      <c r="B155" s="81"/>
      <c r="C155" s="81"/>
      <c r="D155" s="81"/>
      <c r="E155" s="534"/>
      <c r="F155" s="81"/>
      <c r="G155" s="81"/>
      <c r="H155" s="81"/>
      <c r="I155" s="81"/>
      <c r="J155" s="81"/>
      <c r="K155" s="81"/>
      <c r="L155" s="534"/>
    </row>
    <row r="156" spans="1:12" ht="9" customHeight="1">
      <c r="A156" s="81"/>
      <c r="B156" s="81"/>
      <c r="C156" s="81"/>
      <c r="D156" s="81"/>
      <c r="E156" s="534"/>
      <c r="F156" s="81"/>
      <c r="G156" s="81"/>
      <c r="H156" s="81"/>
      <c r="I156" s="81"/>
      <c r="J156" s="81"/>
      <c r="K156" s="81"/>
      <c r="L156" s="534"/>
    </row>
    <row r="157" spans="1:12" ht="9" customHeight="1">
      <c r="A157" s="81"/>
      <c r="B157" s="81"/>
      <c r="C157" s="81"/>
      <c r="D157" s="81"/>
      <c r="E157" s="534"/>
      <c r="F157" s="81"/>
      <c r="G157" s="81"/>
      <c r="H157" s="81"/>
      <c r="I157" s="81"/>
      <c r="J157" s="81"/>
      <c r="K157" s="81"/>
      <c r="L157" s="534"/>
    </row>
    <row r="158" spans="1:12" ht="9" customHeight="1">
      <c r="A158" s="81"/>
      <c r="B158" s="81"/>
      <c r="C158" s="81"/>
      <c r="D158" s="81"/>
      <c r="E158" s="534"/>
      <c r="F158" s="81"/>
      <c r="G158" s="81"/>
      <c r="H158" s="81"/>
      <c r="I158" s="81"/>
      <c r="J158" s="81"/>
      <c r="K158" s="81"/>
      <c r="L158" s="534"/>
    </row>
    <row r="159" spans="1:12" ht="9" customHeight="1">
      <c r="A159" s="81"/>
      <c r="B159" s="81"/>
      <c r="C159" s="81"/>
      <c r="D159" s="81"/>
      <c r="E159" s="534"/>
      <c r="F159" s="81"/>
      <c r="G159" s="81"/>
      <c r="H159" s="81"/>
      <c r="I159" s="81"/>
      <c r="J159" s="81"/>
      <c r="K159" s="81"/>
      <c r="L159" s="534"/>
    </row>
    <row r="160" spans="1:12" ht="9" customHeight="1">
      <c r="A160" s="81"/>
      <c r="B160" s="81"/>
      <c r="C160" s="81"/>
      <c r="D160" s="81"/>
      <c r="E160" s="534"/>
      <c r="F160" s="81"/>
      <c r="G160" s="81"/>
      <c r="H160" s="81"/>
      <c r="I160" s="81"/>
      <c r="J160" s="81"/>
      <c r="K160" s="81"/>
      <c r="L160" s="534"/>
    </row>
    <row r="161" spans="1:12" ht="9" customHeight="1">
      <c r="A161" s="81"/>
      <c r="B161" s="81"/>
      <c r="C161" s="81"/>
      <c r="D161" s="81"/>
      <c r="E161" s="534"/>
      <c r="F161" s="81"/>
      <c r="G161" s="81"/>
      <c r="H161" s="81"/>
      <c r="I161" s="81"/>
      <c r="J161" s="81"/>
      <c r="K161" s="81"/>
      <c r="L161" s="534"/>
    </row>
    <row r="162" spans="1:12" ht="9" customHeight="1">
      <c r="A162" s="81"/>
      <c r="B162" s="81"/>
      <c r="C162" s="81"/>
      <c r="D162" s="81"/>
      <c r="E162" s="534"/>
      <c r="F162" s="81"/>
      <c r="G162" s="81"/>
      <c r="H162" s="81"/>
      <c r="I162" s="81"/>
      <c r="J162" s="81"/>
      <c r="K162" s="81"/>
      <c r="L162" s="534"/>
    </row>
    <row r="163" spans="1:12" ht="9" customHeight="1">
      <c r="A163" s="81"/>
      <c r="B163" s="81"/>
      <c r="C163" s="81"/>
      <c r="D163" s="81"/>
      <c r="E163" s="534"/>
      <c r="F163" s="81"/>
      <c r="G163" s="81"/>
      <c r="H163" s="81"/>
      <c r="I163" s="81"/>
      <c r="J163" s="81"/>
      <c r="K163" s="81"/>
      <c r="L163" s="534"/>
    </row>
    <row r="164" spans="1:12" ht="9" customHeight="1">
      <c r="A164" s="81"/>
      <c r="B164" s="81"/>
      <c r="C164" s="81"/>
      <c r="D164" s="81"/>
      <c r="E164" s="534"/>
      <c r="F164" s="81"/>
      <c r="G164" s="81"/>
      <c r="H164" s="81"/>
      <c r="I164" s="81"/>
      <c r="J164" s="81"/>
      <c r="K164" s="81"/>
      <c r="L164" s="534"/>
    </row>
    <row r="165" spans="1:12" ht="9" customHeight="1">
      <c r="A165" s="81"/>
      <c r="B165" s="81"/>
      <c r="C165" s="81"/>
      <c r="D165" s="81"/>
      <c r="E165" s="534"/>
      <c r="F165" s="81"/>
      <c r="G165" s="81"/>
      <c r="H165" s="81"/>
      <c r="I165" s="81"/>
      <c r="J165" s="81"/>
      <c r="K165" s="81"/>
      <c r="L165" s="534"/>
    </row>
    <row r="166" spans="1:12" ht="9" customHeight="1">
      <c r="A166" s="81"/>
      <c r="B166" s="81"/>
      <c r="C166" s="81"/>
      <c r="D166" s="81"/>
      <c r="E166" s="534"/>
      <c r="F166" s="81"/>
      <c r="G166" s="81"/>
      <c r="H166" s="81"/>
      <c r="I166" s="81"/>
      <c r="J166" s="81"/>
      <c r="K166" s="81"/>
      <c r="L166" s="534"/>
    </row>
    <row r="167" spans="1:12" ht="9" customHeight="1">
      <c r="A167" s="81"/>
      <c r="B167" s="81"/>
      <c r="C167" s="81"/>
      <c r="D167" s="81"/>
      <c r="E167" s="534"/>
      <c r="F167" s="81"/>
      <c r="G167" s="81"/>
      <c r="H167" s="81"/>
      <c r="I167" s="81"/>
      <c r="J167" s="81"/>
      <c r="K167" s="81"/>
      <c r="L167" s="534"/>
    </row>
    <row r="168" spans="1:12" ht="9" customHeight="1">
      <c r="A168" s="81"/>
      <c r="B168" s="81"/>
      <c r="C168" s="81"/>
      <c r="D168" s="81"/>
      <c r="E168" s="534"/>
      <c r="F168" s="81"/>
      <c r="G168" s="81"/>
      <c r="H168" s="81"/>
      <c r="I168" s="81"/>
      <c r="J168" s="81"/>
      <c r="K168" s="81"/>
      <c r="L168" s="534"/>
    </row>
    <row r="169" spans="1:12" ht="9" customHeight="1">
      <c r="A169" s="81"/>
      <c r="B169" s="81"/>
      <c r="C169" s="81"/>
      <c r="D169" s="81"/>
      <c r="E169" s="534"/>
      <c r="F169" s="81"/>
      <c r="G169" s="81"/>
      <c r="H169" s="81"/>
      <c r="I169" s="81"/>
      <c r="J169" s="81"/>
      <c r="K169" s="81"/>
      <c r="L169" s="534"/>
    </row>
    <row r="170" spans="1:12" ht="9" customHeight="1">
      <c r="A170" s="81"/>
      <c r="B170" s="81"/>
      <c r="C170" s="81"/>
      <c r="D170" s="81"/>
      <c r="E170" s="534"/>
      <c r="F170" s="81"/>
      <c r="G170" s="81"/>
      <c r="H170" s="81"/>
      <c r="I170" s="81"/>
      <c r="J170" s="81"/>
      <c r="K170" s="81"/>
      <c r="L170" s="534"/>
    </row>
    <row r="171" spans="1:12" ht="9" customHeight="1">
      <c r="A171" s="81"/>
      <c r="B171" s="81"/>
      <c r="C171" s="81"/>
      <c r="D171" s="81"/>
      <c r="E171" s="534"/>
      <c r="F171" s="81"/>
      <c r="G171" s="81"/>
      <c r="H171" s="81"/>
      <c r="I171" s="81"/>
      <c r="J171" s="81"/>
      <c r="K171" s="81"/>
      <c r="L171" s="534"/>
    </row>
    <row r="172" spans="1:12" ht="9" customHeight="1">
      <c r="A172" s="81"/>
      <c r="B172" s="81"/>
      <c r="C172" s="81"/>
      <c r="D172" s="81"/>
      <c r="E172" s="534"/>
      <c r="F172" s="81"/>
      <c r="G172" s="81"/>
      <c r="H172" s="81"/>
      <c r="I172" s="81"/>
      <c r="J172" s="81"/>
      <c r="K172" s="81"/>
      <c r="L172" s="534"/>
    </row>
    <row r="173" spans="1:12" ht="9" customHeight="1">
      <c r="A173" s="81"/>
      <c r="B173" s="81"/>
      <c r="C173" s="81"/>
      <c r="D173" s="81"/>
      <c r="E173" s="534"/>
      <c r="F173" s="81"/>
      <c r="G173" s="81"/>
      <c r="H173" s="81"/>
      <c r="I173" s="81"/>
      <c r="J173" s="81"/>
      <c r="K173" s="81"/>
      <c r="L173" s="534"/>
    </row>
    <row r="174" spans="1:12" ht="9" customHeight="1">
      <c r="A174" s="81"/>
      <c r="B174" s="81"/>
      <c r="C174" s="81"/>
      <c r="D174" s="81"/>
      <c r="E174" s="534"/>
      <c r="F174" s="81"/>
      <c r="G174" s="81"/>
      <c r="H174" s="81"/>
      <c r="I174" s="81"/>
      <c r="J174" s="81"/>
      <c r="K174" s="81"/>
      <c r="L174" s="534"/>
    </row>
    <row r="175" spans="1:12" ht="9" customHeight="1">
      <c r="A175" s="81"/>
      <c r="B175" s="81"/>
      <c r="C175" s="81"/>
      <c r="D175" s="81"/>
      <c r="E175" s="534"/>
      <c r="F175" s="81"/>
      <c r="G175" s="81"/>
      <c r="H175" s="81"/>
      <c r="I175" s="81"/>
      <c r="J175" s="81"/>
      <c r="K175" s="81"/>
      <c r="L175" s="534"/>
    </row>
    <row r="176" spans="1:12" ht="9" customHeight="1">
      <c r="A176" s="81"/>
      <c r="B176" s="81"/>
      <c r="C176" s="81"/>
      <c r="D176" s="81"/>
      <c r="E176" s="534"/>
      <c r="F176" s="81"/>
      <c r="G176" s="81"/>
      <c r="H176" s="81"/>
      <c r="I176" s="81"/>
      <c r="J176" s="81"/>
      <c r="K176" s="81"/>
      <c r="L176" s="534"/>
    </row>
    <row r="177" spans="1:12" ht="9" customHeight="1">
      <c r="A177" s="81"/>
      <c r="B177" s="81"/>
      <c r="C177" s="81"/>
      <c r="D177" s="81"/>
      <c r="E177" s="534"/>
      <c r="F177" s="81"/>
      <c r="G177" s="81"/>
      <c r="H177" s="81"/>
      <c r="I177" s="81"/>
      <c r="J177" s="81"/>
      <c r="K177" s="81"/>
      <c r="L177" s="534"/>
    </row>
    <row r="178" spans="1:12" ht="9" customHeight="1">
      <c r="A178" s="81"/>
      <c r="B178" s="81"/>
      <c r="C178" s="81"/>
      <c r="D178" s="81"/>
      <c r="E178" s="534"/>
      <c r="F178" s="81"/>
      <c r="G178" s="81"/>
      <c r="H178" s="81"/>
      <c r="I178" s="81"/>
      <c r="J178" s="81"/>
      <c r="K178" s="81"/>
      <c r="L178" s="534"/>
    </row>
    <row r="179" spans="1:12" ht="9" customHeight="1">
      <c r="A179" s="81"/>
      <c r="B179" s="81"/>
      <c r="C179" s="81"/>
      <c r="D179" s="81"/>
      <c r="E179" s="534"/>
      <c r="F179" s="81"/>
      <c r="G179" s="81"/>
      <c r="H179" s="81"/>
      <c r="I179" s="81"/>
      <c r="J179" s="81"/>
      <c r="K179" s="81"/>
      <c r="L179" s="534"/>
    </row>
    <row r="180" spans="1:12" ht="9" customHeight="1">
      <c r="A180" s="81"/>
      <c r="B180" s="81"/>
      <c r="C180" s="81"/>
      <c r="D180" s="81"/>
      <c r="E180" s="534"/>
      <c r="F180" s="81"/>
      <c r="G180" s="81"/>
      <c r="H180" s="81"/>
      <c r="I180" s="81"/>
      <c r="J180" s="81"/>
      <c r="K180" s="81"/>
      <c r="L180" s="534"/>
    </row>
    <row r="181" spans="1:12" ht="9" customHeight="1">
      <c r="A181" s="81"/>
      <c r="B181" s="81"/>
      <c r="C181" s="81"/>
      <c r="D181" s="81"/>
      <c r="E181" s="534"/>
      <c r="F181" s="81"/>
      <c r="G181" s="81"/>
      <c r="H181" s="81"/>
      <c r="I181" s="81"/>
      <c r="J181" s="81"/>
      <c r="K181" s="81"/>
      <c r="L181" s="534"/>
    </row>
    <row r="182" spans="1:12" ht="9" customHeight="1">
      <c r="A182" s="81"/>
      <c r="B182" s="81"/>
      <c r="C182" s="81"/>
      <c r="D182" s="81"/>
      <c r="E182" s="534"/>
      <c r="F182" s="81"/>
      <c r="G182" s="81"/>
      <c r="H182" s="81"/>
      <c r="I182" s="81"/>
      <c r="J182" s="81"/>
      <c r="K182" s="81"/>
      <c r="L182" s="534"/>
    </row>
    <row r="183" spans="1:12" ht="9" customHeight="1">
      <c r="A183" s="81"/>
      <c r="B183" s="81"/>
      <c r="C183" s="81"/>
      <c r="D183" s="81"/>
      <c r="E183" s="534"/>
      <c r="F183" s="81"/>
      <c r="G183" s="81"/>
      <c r="H183" s="81"/>
      <c r="I183" s="81"/>
      <c r="J183" s="81"/>
      <c r="K183" s="81"/>
      <c r="L183" s="534"/>
    </row>
    <row r="184" spans="1:12" ht="9" customHeight="1">
      <c r="A184" s="81"/>
      <c r="B184" s="81"/>
      <c r="C184" s="81"/>
      <c r="D184" s="81"/>
      <c r="E184" s="534"/>
      <c r="F184" s="81"/>
      <c r="G184" s="81"/>
      <c r="H184" s="81"/>
      <c r="I184" s="81"/>
      <c r="J184" s="81"/>
      <c r="K184" s="81"/>
      <c r="L184" s="534"/>
    </row>
    <row r="185" spans="1:12" ht="9" customHeight="1">
      <c r="A185" s="81"/>
      <c r="B185" s="81"/>
      <c r="C185" s="81"/>
      <c r="D185" s="81"/>
      <c r="E185" s="534"/>
      <c r="F185" s="81"/>
      <c r="G185" s="81"/>
      <c r="H185" s="81"/>
      <c r="I185" s="81"/>
      <c r="J185" s="81"/>
      <c r="K185" s="81"/>
      <c r="L185" s="534"/>
    </row>
    <row r="186" spans="1:12" ht="9" customHeight="1">
      <c r="A186" s="81"/>
      <c r="B186" s="81"/>
      <c r="C186" s="81"/>
      <c r="D186" s="81"/>
      <c r="E186" s="534"/>
      <c r="F186" s="81"/>
      <c r="G186" s="81"/>
      <c r="H186" s="81"/>
      <c r="I186" s="81"/>
      <c r="J186" s="81"/>
      <c r="K186" s="81"/>
      <c r="L186" s="534"/>
    </row>
    <row r="187" spans="1:12" ht="9" customHeight="1">
      <c r="A187" s="81"/>
      <c r="B187" s="81"/>
      <c r="C187" s="81"/>
      <c r="D187" s="81"/>
      <c r="E187" s="534"/>
      <c r="F187" s="81"/>
      <c r="G187" s="81"/>
      <c r="H187" s="81"/>
      <c r="I187" s="81"/>
      <c r="J187" s="81"/>
      <c r="K187" s="81"/>
      <c r="L187" s="534"/>
    </row>
    <row r="188" spans="1:12" ht="9" customHeight="1">
      <c r="A188" s="81"/>
      <c r="B188" s="81"/>
      <c r="C188" s="81"/>
      <c r="D188" s="81"/>
      <c r="E188" s="534"/>
      <c r="F188" s="81"/>
      <c r="G188" s="81"/>
      <c r="H188" s="81"/>
      <c r="I188" s="81"/>
      <c r="J188" s="81"/>
      <c r="K188" s="81"/>
      <c r="L188" s="534"/>
    </row>
    <row r="189" spans="1:12" ht="9" customHeight="1">
      <c r="A189" s="81"/>
      <c r="B189" s="81"/>
      <c r="C189" s="81"/>
      <c r="D189" s="81"/>
      <c r="E189" s="534"/>
      <c r="F189" s="81"/>
      <c r="G189" s="81"/>
      <c r="H189" s="81"/>
      <c r="I189" s="81"/>
      <c r="J189" s="81"/>
      <c r="K189" s="81"/>
      <c r="L189" s="534"/>
    </row>
    <row r="190" spans="1:12" ht="9" customHeight="1">
      <c r="A190" s="81"/>
      <c r="B190" s="81"/>
      <c r="C190" s="81"/>
      <c r="D190" s="81"/>
      <c r="E190" s="534"/>
      <c r="F190" s="81"/>
      <c r="G190" s="81"/>
      <c r="H190" s="81"/>
      <c r="I190" s="81"/>
      <c r="J190" s="81"/>
      <c r="K190" s="81"/>
      <c r="L190" s="534"/>
    </row>
    <row r="191" spans="1:12" ht="9" customHeight="1">
      <c r="A191" s="81"/>
      <c r="B191" s="81"/>
      <c r="C191" s="81"/>
      <c r="D191" s="81"/>
      <c r="E191" s="534"/>
      <c r="F191" s="81"/>
      <c r="G191" s="81"/>
      <c r="H191" s="81"/>
      <c r="I191" s="81"/>
      <c r="J191" s="81"/>
      <c r="K191" s="81"/>
      <c r="L191" s="534"/>
    </row>
    <row r="192" spans="1:12" ht="9" customHeight="1">
      <c r="A192" s="81"/>
      <c r="B192" s="81"/>
      <c r="C192" s="81"/>
      <c r="D192" s="81"/>
      <c r="E192" s="534"/>
      <c r="F192" s="81"/>
      <c r="G192" s="81"/>
      <c r="H192" s="81"/>
      <c r="I192" s="81"/>
      <c r="J192" s="81"/>
      <c r="K192" s="81"/>
      <c r="L192" s="534"/>
    </row>
    <row r="193" spans="1:12" ht="9" customHeight="1">
      <c r="A193" s="81"/>
      <c r="B193" s="81"/>
      <c r="C193" s="81"/>
      <c r="D193" s="81"/>
      <c r="E193" s="534"/>
      <c r="F193" s="81"/>
      <c r="G193" s="81"/>
      <c r="H193" s="81"/>
      <c r="I193" s="81"/>
      <c r="J193" s="81"/>
      <c r="K193" s="81"/>
      <c r="L193" s="534"/>
    </row>
    <row r="194" spans="1:12" ht="9" customHeight="1">
      <c r="A194" s="81"/>
      <c r="B194" s="81"/>
      <c r="C194" s="81"/>
      <c r="D194" s="81"/>
      <c r="E194" s="534"/>
      <c r="F194" s="81"/>
      <c r="G194" s="81"/>
      <c r="H194" s="81"/>
      <c r="I194" s="81"/>
      <c r="J194" s="81"/>
      <c r="K194" s="81"/>
      <c r="L194" s="534"/>
    </row>
    <row r="195" spans="1:12" ht="9" customHeight="1">
      <c r="A195" s="81"/>
      <c r="B195" s="81"/>
      <c r="C195" s="81"/>
      <c r="D195" s="81"/>
      <c r="E195" s="534"/>
      <c r="F195" s="81"/>
      <c r="G195" s="81"/>
      <c r="H195" s="81"/>
      <c r="I195" s="81"/>
      <c r="J195" s="81"/>
      <c r="K195" s="81"/>
      <c r="L195" s="534"/>
    </row>
    <row r="196" spans="1:12" ht="9" customHeight="1">
      <c r="A196" s="81"/>
      <c r="B196" s="81"/>
      <c r="C196" s="81"/>
      <c r="D196" s="81"/>
      <c r="E196" s="534"/>
      <c r="F196" s="81"/>
      <c r="G196" s="81"/>
      <c r="H196" s="81"/>
      <c r="I196" s="81"/>
      <c r="J196" s="81"/>
      <c r="K196" s="81"/>
      <c r="L196" s="534"/>
    </row>
    <row r="197" spans="1:12" ht="9" customHeight="1">
      <c r="A197" s="81"/>
      <c r="B197" s="81"/>
      <c r="C197" s="81"/>
      <c r="D197" s="81"/>
      <c r="E197" s="534"/>
      <c r="F197" s="81"/>
      <c r="G197" s="81"/>
      <c r="H197" s="81"/>
      <c r="I197" s="81"/>
      <c r="J197" s="81"/>
      <c r="K197" s="81"/>
      <c r="L197" s="534"/>
    </row>
    <row r="198" spans="1:12" ht="9" customHeight="1">
      <c r="A198" s="81"/>
      <c r="B198" s="81"/>
      <c r="C198" s="81"/>
      <c r="D198" s="81"/>
      <c r="E198" s="534"/>
      <c r="F198" s="81"/>
      <c r="G198" s="81"/>
      <c r="H198" s="81"/>
      <c r="I198" s="81"/>
      <c r="J198" s="81"/>
      <c r="K198" s="81"/>
      <c r="L198" s="534"/>
    </row>
    <row r="199" spans="1:12" ht="9" customHeight="1">
      <c r="A199" s="81"/>
      <c r="B199" s="81"/>
      <c r="C199" s="81"/>
      <c r="D199" s="81"/>
      <c r="E199" s="534"/>
      <c r="F199" s="81"/>
      <c r="G199" s="81"/>
      <c r="H199" s="81"/>
      <c r="I199" s="81"/>
      <c r="J199" s="81"/>
      <c r="K199" s="81"/>
      <c r="L199" s="534"/>
    </row>
    <row r="200" spans="1:12" ht="9" customHeight="1">
      <c r="A200" s="81"/>
      <c r="B200" s="81"/>
      <c r="C200" s="81"/>
      <c r="D200" s="81"/>
      <c r="E200" s="534"/>
      <c r="F200" s="81"/>
      <c r="G200" s="81"/>
      <c r="H200" s="81"/>
      <c r="I200" s="81"/>
      <c r="J200" s="81"/>
      <c r="K200" s="81"/>
      <c r="L200" s="534"/>
    </row>
    <row r="201" spans="1:12" ht="9" customHeight="1">
      <c r="A201" s="81"/>
      <c r="B201" s="81"/>
      <c r="C201" s="81"/>
      <c r="D201" s="81"/>
      <c r="E201" s="534"/>
      <c r="F201" s="81"/>
      <c r="G201" s="81"/>
      <c r="H201" s="81"/>
      <c r="I201" s="81"/>
      <c r="J201" s="81"/>
      <c r="K201" s="81"/>
      <c r="L201" s="534"/>
    </row>
    <row r="202" spans="1:12" ht="9" customHeight="1">
      <c r="A202" s="81"/>
      <c r="B202" s="81"/>
      <c r="C202" s="81"/>
      <c r="D202" s="81"/>
      <c r="E202" s="534"/>
      <c r="F202" s="81"/>
      <c r="G202" s="81"/>
      <c r="H202" s="81"/>
      <c r="I202" s="81"/>
      <c r="J202" s="81"/>
      <c r="K202" s="81"/>
      <c r="L202" s="534"/>
    </row>
    <row r="203" spans="1:12" ht="9" customHeight="1">
      <c r="A203" s="81"/>
      <c r="B203" s="81"/>
      <c r="C203" s="81"/>
      <c r="D203" s="81"/>
      <c r="E203" s="534"/>
      <c r="F203" s="81"/>
      <c r="G203" s="81"/>
      <c r="H203" s="81"/>
      <c r="I203" s="81"/>
      <c r="J203" s="81"/>
      <c r="K203" s="81"/>
      <c r="L203" s="534"/>
    </row>
    <row r="204" spans="1:12" ht="9" customHeight="1">
      <c r="A204" s="81"/>
      <c r="B204" s="81"/>
      <c r="C204" s="81"/>
      <c r="D204" s="81"/>
      <c r="E204" s="534"/>
      <c r="F204" s="81"/>
      <c r="G204" s="81"/>
      <c r="H204" s="81"/>
      <c r="I204" s="81"/>
      <c r="J204" s="81"/>
      <c r="K204" s="81"/>
      <c r="L204" s="534"/>
    </row>
    <row r="205" spans="1:12" ht="9" customHeight="1">
      <c r="A205" s="81"/>
      <c r="B205" s="81"/>
      <c r="C205" s="81"/>
      <c r="D205" s="81"/>
      <c r="E205" s="534"/>
      <c r="F205" s="81"/>
      <c r="G205" s="81"/>
      <c r="H205" s="81"/>
      <c r="I205" s="81"/>
      <c r="J205" s="81"/>
      <c r="K205" s="81"/>
      <c r="L205" s="534"/>
    </row>
    <row r="206" spans="1:12" ht="9" customHeight="1">
      <c r="A206" s="81"/>
      <c r="B206" s="81"/>
      <c r="C206" s="81"/>
      <c r="D206" s="81"/>
      <c r="E206" s="534"/>
      <c r="F206" s="81"/>
      <c r="G206" s="81"/>
      <c r="H206" s="81"/>
      <c r="I206" s="81"/>
      <c r="J206" s="81"/>
      <c r="K206" s="81"/>
      <c r="L206" s="534"/>
    </row>
    <row r="207" spans="1:12" ht="9" customHeight="1">
      <c r="A207" s="81"/>
      <c r="B207" s="81"/>
      <c r="C207" s="81"/>
      <c r="D207" s="81"/>
      <c r="E207" s="534"/>
      <c r="F207" s="81"/>
      <c r="G207" s="81"/>
      <c r="H207" s="81"/>
      <c r="I207" s="81"/>
      <c r="J207" s="81"/>
      <c r="K207" s="81"/>
      <c r="L207" s="534"/>
    </row>
    <row r="208" spans="1:12" ht="9" customHeight="1">
      <c r="A208" s="81"/>
      <c r="B208" s="81"/>
      <c r="C208" s="81"/>
      <c r="D208" s="81"/>
      <c r="E208" s="534"/>
      <c r="F208" s="81"/>
      <c r="G208" s="81"/>
      <c r="H208" s="81"/>
      <c r="I208" s="81"/>
      <c r="J208" s="81"/>
      <c r="K208" s="81"/>
      <c r="L208" s="534"/>
    </row>
    <row r="209" spans="1:12" ht="9" customHeight="1">
      <c r="A209" s="81"/>
      <c r="B209" s="81"/>
      <c r="C209" s="81"/>
      <c r="D209" s="81"/>
      <c r="E209" s="534"/>
      <c r="F209" s="81"/>
      <c r="G209" s="81"/>
      <c r="H209" s="81"/>
      <c r="I209" s="81"/>
      <c r="J209" s="81"/>
      <c r="K209" s="81"/>
      <c r="L209" s="534"/>
    </row>
    <row r="210" spans="1:12" ht="9" customHeight="1">
      <c r="A210" s="81"/>
      <c r="B210" s="81"/>
      <c r="C210" s="81"/>
      <c r="D210" s="81"/>
      <c r="E210" s="534"/>
      <c r="F210" s="81"/>
      <c r="G210" s="81"/>
      <c r="H210" s="81"/>
      <c r="I210" s="81"/>
      <c r="J210" s="81"/>
      <c r="K210" s="81"/>
      <c r="L210" s="534"/>
    </row>
    <row r="211" spans="1:12" ht="9" customHeight="1">
      <c r="A211" s="81"/>
      <c r="B211" s="81"/>
      <c r="C211" s="81"/>
      <c r="D211" s="81"/>
      <c r="E211" s="534"/>
      <c r="F211" s="81"/>
      <c r="G211" s="81"/>
      <c r="H211" s="81"/>
      <c r="I211" s="81"/>
      <c r="J211" s="81"/>
      <c r="K211" s="81"/>
      <c r="L211" s="534"/>
    </row>
    <row r="212" spans="1:12" ht="9" customHeight="1">
      <c r="A212" s="81"/>
      <c r="B212" s="81"/>
      <c r="C212" s="81"/>
      <c r="D212" s="81"/>
      <c r="E212" s="534"/>
      <c r="F212" s="81"/>
      <c r="G212" s="81"/>
      <c r="H212" s="81"/>
      <c r="I212" s="81"/>
      <c r="J212" s="81"/>
      <c r="K212" s="81"/>
      <c r="L212" s="534"/>
    </row>
    <row r="213" spans="1:12" ht="9" customHeight="1">
      <c r="A213" s="81"/>
      <c r="B213" s="81"/>
      <c r="C213" s="81"/>
      <c r="D213" s="81"/>
      <c r="E213" s="534"/>
      <c r="F213" s="81"/>
      <c r="G213" s="81"/>
      <c r="H213" s="81"/>
      <c r="I213" s="81"/>
      <c r="J213" s="81"/>
      <c r="K213" s="81"/>
      <c r="L213" s="534"/>
    </row>
    <row r="214" spans="1:12" ht="9" customHeight="1">
      <c r="A214" s="81"/>
      <c r="B214" s="81"/>
      <c r="C214" s="81"/>
      <c r="D214" s="81"/>
      <c r="E214" s="534"/>
      <c r="F214" s="81"/>
      <c r="G214" s="81"/>
      <c r="H214" s="81"/>
      <c r="I214" s="81"/>
      <c r="J214" s="81"/>
      <c r="K214" s="81"/>
      <c r="L214" s="534"/>
    </row>
    <row r="215" spans="1:12" ht="9" customHeight="1">
      <c r="A215" s="81"/>
      <c r="B215" s="81"/>
      <c r="C215" s="81"/>
      <c r="D215" s="81"/>
      <c r="E215" s="534"/>
      <c r="F215" s="81"/>
      <c r="G215" s="81"/>
      <c r="H215" s="81"/>
      <c r="I215" s="81"/>
      <c r="J215" s="81"/>
      <c r="K215" s="81"/>
      <c r="L215" s="534"/>
    </row>
    <row r="216" spans="1:12" ht="9" customHeight="1">
      <c r="A216" s="81"/>
      <c r="B216" s="81"/>
      <c r="C216" s="81"/>
      <c r="D216" s="81"/>
      <c r="E216" s="534"/>
      <c r="F216" s="81"/>
      <c r="G216" s="81"/>
      <c r="H216" s="81"/>
      <c r="I216" s="81"/>
      <c r="J216" s="81"/>
      <c r="K216" s="81"/>
      <c r="L216" s="534"/>
    </row>
    <row r="217" spans="1:12" ht="9" customHeight="1">
      <c r="A217" s="81"/>
      <c r="B217" s="81"/>
      <c r="C217" s="81"/>
      <c r="D217" s="81"/>
      <c r="E217" s="534"/>
      <c r="F217" s="81"/>
      <c r="G217" s="81"/>
      <c r="H217" s="81"/>
      <c r="I217" s="81"/>
      <c r="J217" s="81"/>
      <c r="K217" s="81"/>
      <c r="L217" s="534"/>
    </row>
    <row r="218" spans="1:12" ht="9" customHeight="1">
      <c r="A218" s="81"/>
      <c r="B218" s="81"/>
      <c r="C218" s="81"/>
      <c r="D218" s="81"/>
      <c r="E218" s="534"/>
      <c r="F218" s="81"/>
      <c r="G218" s="81"/>
      <c r="H218" s="81"/>
      <c r="I218" s="81"/>
      <c r="J218" s="81"/>
      <c r="K218" s="81"/>
      <c r="L218" s="534"/>
    </row>
    <row r="219" spans="1:12" ht="9" customHeight="1">
      <c r="A219" s="81"/>
      <c r="B219" s="81"/>
      <c r="C219" s="81"/>
      <c r="D219" s="81"/>
      <c r="E219" s="534"/>
      <c r="F219" s="81"/>
      <c r="G219" s="81"/>
      <c r="H219" s="81"/>
      <c r="I219" s="81"/>
      <c r="J219" s="81"/>
      <c r="K219" s="81"/>
      <c r="L219" s="534"/>
    </row>
    <row r="220" spans="1:12" ht="9" customHeight="1">
      <c r="A220" s="81"/>
      <c r="B220" s="81"/>
      <c r="C220" s="81"/>
      <c r="D220" s="81"/>
      <c r="E220" s="534"/>
      <c r="F220" s="81"/>
      <c r="G220" s="81"/>
      <c r="H220" s="81"/>
      <c r="I220" s="81"/>
      <c r="J220" s="81"/>
      <c r="K220" s="81"/>
      <c r="L220" s="534"/>
    </row>
    <row r="221" spans="1:12" ht="9" customHeight="1">
      <c r="A221" s="81"/>
      <c r="B221" s="81"/>
      <c r="C221" s="81"/>
      <c r="D221" s="81"/>
      <c r="E221" s="534"/>
      <c r="F221" s="81"/>
      <c r="G221" s="81"/>
      <c r="H221" s="81"/>
      <c r="I221" s="81"/>
      <c r="J221" s="81"/>
      <c r="K221" s="81"/>
      <c r="L221" s="534"/>
    </row>
    <row r="222" spans="1:12" ht="9" customHeight="1">
      <c r="A222" s="81"/>
      <c r="B222" s="81"/>
      <c r="C222" s="81"/>
      <c r="D222" s="81"/>
      <c r="E222" s="534"/>
      <c r="F222" s="81"/>
      <c r="G222" s="81"/>
      <c r="H222" s="81"/>
      <c r="I222" s="81"/>
      <c r="J222" s="81"/>
      <c r="K222" s="81"/>
      <c r="L222" s="534"/>
    </row>
    <row r="223" spans="1:12" ht="9" customHeight="1">
      <c r="A223" s="81"/>
      <c r="B223" s="81"/>
      <c r="C223" s="81"/>
      <c r="D223" s="81"/>
      <c r="E223" s="534"/>
      <c r="F223" s="81"/>
      <c r="G223" s="81"/>
      <c r="H223" s="81"/>
      <c r="I223" s="81"/>
      <c r="J223" s="81"/>
      <c r="K223" s="81"/>
      <c r="L223" s="534"/>
    </row>
    <row r="224" spans="1:12" ht="9" customHeight="1">
      <c r="A224" s="81"/>
      <c r="B224" s="81"/>
      <c r="C224" s="81"/>
      <c r="D224" s="81"/>
      <c r="E224" s="534"/>
      <c r="F224" s="81"/>
      <c r="G224" s="81"/>
      <c r="H224" s="81"/>
      <c r="I224" s="81"/>
      <c r="J224" s="81"/>
      <c r="K224" s="81"/>
      <c r="L224" s="534"/>
    </row>
    <row r="225" spans="1:12" ht="9" customHeight="1">
      <c r="A225" s="81"/>
      <c r="B225" s="81"/>
      <c r="C225" s="81"/>
      <c r="D225" s="81"/>
      <c r="E225" s="534"/>
      <c r="F225" s="81"/>
      <c r="G225" s="81"/>
      <c r="H225" s="81"/>
      <c r="I225" s="81"/>
      <c r="J225" s="81"/>
      <c r="K225" s="81"/>
      <c r="L225" s="534"/>
    </row>
    <row r="226" spans="1:12" ht="9" customHeight="1">
      <c r="A226" s="81"/>
      <c r="B226" s="81"/>
      <c r="C226" s="81"/>
      <c r="D226" s="81"/>
      <c r="E226" s="534"/>
      <c r="F226" s="81"/>
      <c r="G226" s="81"/>
      <c r="H226" s="81"/>
      <c r="I226" s="81"/>
      <c r="J226" s="81"/>
      <c r="K226" s="81"/>
      <c r="L226" s="534"/>
    </row>
    <row r="227" spans="1:12" ht="9" customHeight="1">
      <c r="A227" s="81"/>
      <c r="B227" s="81"/>
      <c r="C227" s="81"/>
      <c r="D227" s="81"/>
      <c r="E227" s="534"/>
      <c r="F227" s="81"/>
      <c r="G227" s="81"/>
      <c r="H227" s="81"/>
      <c r="I227" s="81"/>
      <c r="J227" s="81"/>
      <c r="K227" s="81"/>
      <c r="L227" s="534"/>
    </row>
    <row r="228" spans="1:12" ht="9" customHeight="1">
      <c r="A228" s="81"/>
      <c r="B228" s="81"/>
      <c r="C228" s="81"/>
      <c r="D228" s="81"/>
      <c r="E228" s="534"/>
      <c r="F228" s="81"/>
      <c r="G228" s="81"/>
      <c r="H228" s="81"/>
      <c r="I228" s="81"/>
      <c r="J228" s="81"/>
      <c r="K228" s="81"/>
      <c r="L228" s="534"/>
    </row>
    <row r="229" spans="1:12" ht="9" customHeight="1">
      <c r="A229" s="81"/>
      <c r="B229" s="81"/>
      <c r="C229" s="81"/>
      <c r="D229" s="81"/>
      <c r="E229" s="534"/>
      <c r="F229" s="81"/>
      <c r="G229" s="81"/>
      <c r="H229" s="81"/>
      <c r="I229" s="81"/>
      <c r="J229" s="81"/>
      <c r="K229" s="81"/>
      <c r="L229" s="534"/>
    </row>
    <row r="230" spans="1:12" ht="9" customHeight="1">
      <c r="A230" s="81"/>
      <c r="B230" s="81"/>
      <c r="C230" s="81"/>
      <c r="D230" s="81"/>
      <c r="E230" s="534"/>
      <c r="F230" s="81"/>
      <c r="G230" s="81"/>
      <c r="H230" s="81"/>
      <c r="I230" s="81"/>
      <c r="J230" s="81"/>
      <c r="K230" s="81"/>
      <c r="L230" s="534"/>
    </row>
    <row r="231" spans="1:12" ht="9" customHeight="1">
      <c r="A231" s="81"/>
      <c r="B231" s="81"/>
      <c r="C231" s="81"/>
      <c r="D231" s="81"/>
      <c r="E231" s="534"/>
      <c r="F231" s="81"/>
      <c r="G231" s="81"/>
      <c r="H231" s="81"/>
      <c r="I231" s="81"/>
      <c r="J231" s="81"/>
      <c r="K231" s="81"/>
      <c r="L231" s="534"/>
    </row>
    <row r="232" spans="1:12" ht="9" customHeight="1">
      <c r="A232" s="81"/>
      <c r="B232" s="81"/>
      <c r="C232" s="81"/>
      <c r="D232" s="81"/>
      <c r="E232" s="534"/>
      <c r="F232" s="81"/>
      <c r="G232" s="81"/>
      <c r="H232" s="81"/>
      <c r="I232" s="81"/>
      <c r="J232" s="81"/>
      <c r="K232" s="81"/>
      <c r="L232" s="534"/>
    </row>
    <row r="233" spans="1:12" ht="9" customHeight="1">
      <c r="A233" s="81"/>
      <c r="B233" s="81"/>
      <c r="C233" s="81"/>
      <c r="D233" s="81"/>
      <c r="E233" s="534"/>
      <c r="F233" s="81"/>
      <c r="G233" s="81"/>
      <c r="H233" s="81"/>
      <c r="I233" s="81"/>
      <c r="J233" s="81"/>
      <c r="K233" s="81"/>
      <c r="L233" s="534"/>
    </row>
    <row r="234" spans="1:12" ht="9" customHeight="1">
      <c r="A234" s="81"/>
      <c r="B234" s="81"/>
      <c r="C234" s="81"/>
      <c r="D234" s="81"/>
      <c r="E234" s="534"/>
      <c r="F234" s="81"/>
      <c r="G234" s="81"/>
      <c r="H234" s="81"/>
      <c r="I234" s="81"/>
      <c r="J234" s="81"/>
      <c r="K234" s="81"/>
      <c r="L234" s="534"/>
    </row>
    <row r="235" spans="1:12" ht="9" customHeight="1">
      <c r="A235" s="81"/>
      <c r="B235" s="81"/>
      <c r="C235" s="81"/>
      <c r="D235" s="81"/>
      <c r="E235" s="534"/>
      <c r="F235" s="81"/>
      <c r="G235" s="81"/>
      <c r="H235" s="81"/>
      <c r="I235" s="81"/>
      <c r="J235" s="81"/>
      <c r="K235" s="81"/>
      <c r="L235" s="534"/>
    </row>
    <row r="236" spans="1:12" ht="9" customHeight="1">
      <c r="A236" s="81"/>
      <c r="B236" s="81"/>
      <c r="C236" s="81"/>
      <c r="D236" s="81"/>
      <c r="E236" s="534"/>
      <c r="F236" s="81"/>
      <c r="G236" s="81"/>
      <c r="H236" s="81"/>
      <c r="I236" s="81"/>
      <c r="J236" s="81"/>
      <c r="K236" s="81"/>
      <c r="L236" s="534"/>
    </row>
    <row r="237" spans="1:12" ht="9" customHeight="1">
      <c r="A237" s="81"/>
      <c r="B237" s="81"/>
      <c r="C237" s="81"/>
      <c r="D237" s="81"/>
      <c r="E237" s="534"/>
      <c r="F237" s="81"/>
      <c r="G237" s="81"/>
      <c r="H237" s="81"/>
      <c r="I237" s="81"/>
      <c r="J237" s="81"/>
      <c r="K237" s="81"/>
      <c r="L237" s="534"/>
    </row>
    <row r="238" spans="1:12" ht="9" customHeight="1">
      <c r="A238" s="81"/>
      <c r="B238" s="81"/>
      <c r="C238" s="81"/>
      <c r="D238" s="81"/>
      <c r="E238" s="534"/>
      <c r="F238" s="81"/>
      <c r="G238" s="81"/>
      <c r="H238" s="81"/>
      <c r="I238" s="81"/>
      <c r="J238" s="81"/>
      <c r="K238" s="81"/>
      <c r="L238" s="534"/>
    </row>
  </sheetData>
  <sheetProtection/>
  <mergeCells count="28">
    <mergeCell ref="A83:L83"/>
    <mergeCell ref="A19:L19"/>
    <mergeCell ref="A35:L35"/>
    <mergeCell ref="H55:I55"/>
    <mergeCell ref="A61:E61"/>
    <mergeCell ref="A60:E60"/>
    <mergeCell ref="A39:B39"/>
    <mergeCell ref="H39:I39"/>
    <mergeCell ref="A36:L36"/>
    <mergeCell ref="A55:B55"/>
    <mergeCell ref="A81:L81"/>
    <mergeCell ref="A82:L82"/>
    <mergeCell ref="H61:L61"/>
    <mergeCell ref="H60:L60"/>
    <mergeCell ref="A62:B62"/>
    <mergeCell ref="A1:L1"/>
    <mergeCell ref="H2:L2"/>
    <mergeCell ref="H3:L3"/>
    <mergeCell ref="A5:L5"/>
    <mergeCell ref="A92:L92"/>
    <mergeCell ref="A135:L135"/>
    <mergeCell ref="A124:L124"/>
    <mergeCell ref="A122:L122"/>
    <mergeCell ref="A123:L123"/>
    <mergeCell ref="A95:L95"/>
    <mergeCell ref="A96:L96"/>
    <mergeCell ref="A106:L106"/>
    <mergeCell ref="A105:L105"/>
  </mergeCells>
  <printOptions horizontalCentered="1" verticalCentered="1"/>
  <pageMargins left="0" right="0" top="0.1968503937007874" bottom="0" header="0" footer="0"/>
  <pageSetup horizontalDpi="600" verticalDpi="600" orientation="portrait" paperSize="9" scale="80" r:id="rId3"/>
  <rowBreaks count="1" manualBreakCount="1">
    <brk id="93" max="10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1"/>
  <sheetViews>
    <sheetView view="pageBreakPreview" zoomScaleSheetLayoutView="100" zoomScalePageLayoutView="0" workbookViewId="0" topLeftCell="A64">
      <selection activeCell="A15" sqref="A15"/>
    </sheetView>
  </sheetViews>
  <sheetFormatPr defaultColWidth="9.00390625" defaultRowHeight="9" customHeight="1"/>
  <cols>
    <col min="1" max="1" width="22.125" style="1" customWidth="1"/>
    <col min="2" max="2" width="10.375" style="1" customWidth="1"/>
    <col min="3" max="4" width="8.875" style="1" customWidth="1"/>
    <col min="5" max="5" width="11.875" style="3" customWidth="1"/>
    <col min="6" max="6" width="0.2421875" style="1" hidden="1" customWidth="1"/>
    <col min="7" max="7" width="1.00390625" style="1" customWidth="1"/>
    <col min="8" max="8" width="26.25390625" style="1" customWidth="1"/>
    <col min="9" max="9" width="8.75390625" style="1" customWidth="1"/>
    <col min="10" max="10" width="9.00390625" style="1" customWidth="1"/>
    <col min="11" max="11" width="9.25390625" style="1" customWidth="1"/>
    <col min="12" max="12" width="11.00390625" style="3" customWidth="1"/>
    <col min="13" max="16384" width="9.125" style="1" customWidth="1"/>
  </cols>
  <sheetData>
    <row r="1" spans="1:12" ht="12" customHeight="1">
      <c r="A1" s="2352" t="s">
        <v>131</v>
      </c>
      <c r="B1" s="2352"/>
      <c r="C1" s="2352"/>
      <c r="D1" s="2352"/>
      <c r="E1" s="2352"/>
      <c r="F1" s="2352"/>
      <c r="G1" s="2352"/>
      <c r="H1" s="2352"/>
      <c r="I1" s="2352"/>
      <c r="J1" s="2352"/>
      <c r="K1" s="2352"/>
      <c r="L1" s="2352"/>
    </row>
    <row r="2" spans="1:12" s="13" customFormat="1" ht="12" customHeight="1">
      <c r="A2" s="1464" t="s">
        <v>1749</v>
      </c>
      <c r="B2" s="1465"/>
      <c r="C2" s="1466"/>
      <c r="D2" s="1467"/>
      <c r="E2" s="1468"/>
      <c r="F2" s="1469"/>
      <c r="G2" s="1469"/>
      <c r="H2" s="1470" t="s">
        <v>1642</v>
      </c>
      <c r="I2" s="1465"/>
      <c r="J2" s="1469"/>
      <c r="K2" s="1466"/>
      <c r="L2" s="1465"/>
    </row>
    <row r="3" spans="1:12" s="13" customFormat="1" ht="12" customHeight="1" thickBot="1">
      <c r="A3" s="1471" t="s">
        <v>150</v>
      </c>
      <c r="B3" s="1472"/>
      <c r="C3" s="1471"/>
      <c r="D3" s="1471"/>
      <c r="E3" s="1473"/>
      <c r="F3" s="1471"/>
      <c r="G3" s="1471"/>
      <c r="H3" s="1471" t="s">
        <v>724</v>
      </c>
      <c r="I3" s="1472"/>
      <c r="J3" s="1471"/>
      <c r="K3" s="1471"/>
      <c r="L3" s="1472"/>
    </row>
    <row r="4" spans="1:12" ht="18" customHeight="1" thickTop="1">
      <c r="A4" s="2357" t="s">
        <v>1999</v>
      </c>
      <c r="B4" s="2357"/>
      <c r="C4" s="2357"/>
      <c r="D4" s="2357"/>
      <c r="E4" s="2357"/>
      <c r="F4" s="2357"/>
      <c r="G4" s="2357"/>
      <c r="H4" s="2357"/>
      <c r="I4" s="2357"/>
      <c r="J4" s="2357"/>
      <c r="K4" s="2357"/>
      <c r="L4" s="2357"/>
    </row>
    <row r="5" spans="1:12" ht="12" customHeight="1" thickBot="1">
      <c r="A5" s="2346" t="s">
        <v>1911</v>
      </c>
      <c r="B5" s="2346"/>
      <c r="C5" s="2346"/>
      <c r="D5" s="2346"/>
      <c r="E5" s="2346"/>
      <c r="F5" s="2346"/>
      <c r="G5" s="2346"/>
      <c r="H5" s="2346"/>
      <c r="I5" s="2346"/>
      <c r="J5" s="2346"/>
      <c r="K5" s="2346"/>
      <c r="L5" s="2346"/>
    </row>
    <row r="6" spans="1:12" ht="12" customHeight="1" thickBot="1">
      <c r="A6" s="1475" t="s">
        <v>67</v>
      </c>
      <c r="B6" s="1476"/>
      <c r="C6" s="1476"/>
      <c r="D6" s="1476"/>
      <c r="E6" s="1477"/>
      <c r="F6" s="1476"/>
      <c r="G6" s="1476"/>
      <c r="H6" s="1478" t="s">
        <v>171</v>
      </c>
      <c r="I6" s="1479" t="s">
        <v>399</v>
      </c>
      <c r="J6" s="1479" t="s">
        <v>400</v>
      </c>
      <c r="K6" s="1479" t="s">
        <v>401</v>
      </c>
      <c r="L6" s="1480" t="s">
        <v>1969</v>
      </c>
    </row>
    <row r="7" spans="1:12" ht="12" customHeight="1" thickBot="1">
      <c r="A7" s="1478" t="s">
        <v>171</v>
      </c>
      <c r="B7" s="1479" t="s">
        <v>399</v>
      </c>
      <c r="C7" s="1479" t="s">
        <v>400</v>
      </c>
      <c r="D7" s="1479" t="s">
        <v>401</v>
      </c>
      <c r="E7" s="1480" t="s">
        <v>1969</v>
      </c>
      <c r="F7" s="1299"/>
      <c r="G7" s="1299"/>
      <c r="H7" s="1481" t="s">
        <v>1915</v>
      </c>
      <c r="I7" s="1482">
        <v>12</v>
      </c>
      <c r="J7" s="1483">
        <v>4</v>
      </c>
      <c r="K7" s="1484">
        <v>0.6</v>
      </c>
      <c r="L7" s="1110">
        <v>9963</v>
      </c>
    </row>
    <row r="8" spans="1:12" ht="12" customHeight="1">
      <c r="A8" s="1485" t="s">
        <v>580</v>
      </c>
      <c r="B8" s="1486">
        <v>3</v>
      </c>
      <c r="C8" s="1487">
        <v>5</v>
      </c>
      <c r="D8" s="1488">
        <v>0.25</v>
      </c>
      <c r="E8" s="1489">
        <v>3878</v>
      </c>
      <c r="F8" s="1476"/>
      <c r="G8" s="1476"/>
      <c r="H8" s="1490" t="s">
        <v>1916</v>
      </c>
      <c r="I8" s="1491">
        <v>12</v>
      </c>
      <c r="J8" s="1492">
        <v>11</v>
      </c>
      <c r="K8" s="1493">
        <v>0.75</v>
      </c>
      <c r="L8" s="542">
        <v>14592</v>
      </c>
    </row>
    <row r="9" spans="1:12" ht="12" customHeight="1">
      <c r="A9" s="1490" t="s">
        <v>1913</v>
      </c>
      <c r="B9" s="1491">
        <v>4</v>
      </c>
      <c r="C9" s="1492">
        <v>6</v>
      </c>
      <c r="D9" s="1493">
        <v>0.37</v>
      </c>
      <c r="E9" s="542">
        <v>4605</v>
      </c>
      <c r="F9" s="1476"/>
      <c r="G9" s="1476"/>
      <c r="H9" s="1490" t="s">
        <v>2003</v>
      </c>
      <c r="I9" s="1491">
        <v>12</v>
      </c>
      <c r="J9" s="1492">
        <v>18</v>
      </c>
      <c r="K9" s="1493">
        <v>1.5</v>
      </c>
      <c r="L9" s="542">
        <v>23496</v>
      </c>
    </row>
    <row r="10" spans="1:12" ht="12" customHeight="1" thickBot="1">
      <c r="A10" s="1494" t="s">
        <v>1914</v>
      </c>
      <c r="B10" s="1495">
        <v>7</v>
      </c>
      <c r="C10" s="1496">
        <v>8</v>
      </c>
      <c r="D10" s="1497">
        <v>0.55</v>
      </c>
      <c r="E10" s="543">
        <v>5362</v>
      </c>
      <c r="F10" s="1498"/>
      <c r="G10" s="1498"/>
      <c r="H10" s="1494" t="s">
        <v>892</v>
      </c>
      <c r="I10" s="1495">
        <v>60</v>
      </c>
      <c r="J10" s="1496">
        <v>10</v>
      </c>
      <c r="K10" s="1497">
        <v>7.2</v>
      </c>
      <c r="L10" s="543">
        <v>132445</v>
      </c>
    </row>
    <row r="11" spans="1:12" ht="12" customHeight="1" thickBot="1">
      <c r="A11" s="1499" t="s">
        <v>1791</v>
      </c>
      <c r="B11" s="1476"/>
      <c r="C11" s="1476"/>
      <c r="D11" s="1476"/>
      <c r="E11" s="1477"/>
      <c r="F11" s="1476"/>
      <c r="G11" s="1476"/>
      <c r="H11" s="1475" t="s">
        <v>60</v>
      </c>
      <c r="I11" s="1476"/>
      <c r="J11" s="1476"/>
      <c r="K11" s="1476"/>
      <c r="L11" s="1477"/>
    </row>
    <row r="12" spans="1:12" s="1506" customFormat="1" ht="12" customHeight="1" thickBot="1">
      <c r="A12" s="1500" t="s">
        <v>171</v>
      </c>
      <c r="B12" s="1501" t="s">
        <v>399</v>
      </c>
      <c r="C12" s="1500" t="s">
        <v>400</v>
      </c>
      <c r="D12" s="1501" t="s">
        <v>401</v>
      </c>
      <c r="E12" s="1502" t="s">
        <v>1969</v>
      </c>
      <c r="F12" s="1503"/>
      <c r="G12" s="1503"/>
      <c r="H12" s="1504" t="s">
        <v>171</v>
      </c>
      <c r="I12" s="1505" t="s">
        <v>1912</v>
      </c>
      <c r="J12" s="1500" t="s">
        <v>400</v>
      </c>
      <c r="K12" s="1505" t="s">
        <v>401</v>
      </c>
      <c r="L12" s="1480" t="s">
        <v>939</v>
      </c>
    </row>
    <row r="13" spans="1:12" ht="12" customHeight="1">
      <c r="A13" s="1507" t="s">
        <v>45</v>
      </c>
      <c r="B13" s="1487">
        <v>2</v>
      </c>
      <c r="C13" s="1487">
        <v>4.5</v>
      </c>
      <c r="D13" s="1508">
        <v>0.24</v>
      </c>
      <c r="E13" s="1509">
        <v>5704</v>
      </c>
      <c r="F13" s="1476"/>
      <c r="G13" s="1476"/>
      <c r="H13" s="1485" t="s">
        <v>1917</v>
      </c>
      <c r="I13" s="1487">
        <v>2</v>
      </c>
      <c r="J13" s="1487">
        <v>3.9</v>
      </c>
      <c r="K13" s="1510">
        <v>0.22</v>
      </c>
      <c r="L13" s="1489">
        <v>3314</v>
      </c>
    </row>
    <row r="14" spans="1:12" ht="12" customHeight="1">
      <c r="A14" s="1511" t="s">
        <v>46</v>
      </c>
      <c r="B14" s="1492">
        <v>8</v>
      </c>
      <c r="C14" s="1492">
        <v>5</v>
      </c>
      <c r="D14" s="1512">
        <v>0.38</v>
      </c>
      <c r="E14" s="1513">
        <v>6726</v>
      </c>
      <c r="F14" s="1476"/>
      <c r="G14" s="1476"/>
      <c r="H14" s="1490" t="s">
        <v>1918</v>
      </c>
      <c r="I14" s="1492">
        <v>8</v>
      </c>
      <c r="J14" s="1492">
        <v>3.9</v>
      </c>
      <c r="K14" s="1514">
        <v>0.22</v>
      </c>
      <c r="L14" s="542">
        <v>4163</v>
      </c>
    </row>
    <row r="15" spans="1:12" ht="12" customHeight="1">
      <c r="A15" s="1511" t="s">
        <v>47</v>
      </c>
      <c r="B15" s="1492">
        <v>10</v>
      </c>
      <c r="C15" s="1492">
        <v>6.5</v>
      </c>
      <c r="D15" s="1512">
        <v>0.78</v>
      </c>
      <c r="E15" s="1515">
        <v>8555</v>
      </c>
      <c r="F15" s="1476"/>
      <c r="G15" s="1476"/>
      <c r="H15" s="1490" t="s">
        <v>176</v>
      </c>
      <c r="I15" s="1492">
        <v>9</v>
      </c>
      <c r="J15" s="1492">
        <v>6.7</v>
      </c>
      <c r="K15" s="1514">
        <v>0.55</v>
      </c>
      <c r="L15" s="542">
        <v>6380</v>
      </c>
    </row>
    <row r="16" spans="1:12" ht="12" customHeight="1">
      <c r="A16" s="1511" t="s">
        <v>699</v>
      </c>
      <c r="B16" s="1492">
        <v>10</v>
      </c>
      <c r="C16" s="1492">
        <v>16</v>
      </c>
      <c r="D16" s="1512">
        <v>0.7</v>
      </c>
      <c r="E16" s="1515">
        <v>14940</v>
      </c>
      <c r="F16" s="1476"/>
      <c r="G16" s="1476"/>
      <c r="H16" s="1490" t="s">
        <v>1709</v>
      </c>
      <c r="I16" s="1492">
        <v>8</v>
      </c>
      <c r="J16" s="1492">
        <v>8</v>
      </c>
      <c r="K16" s="1514">
        <v>0.75</v>
      </c>
      <c r="L16" s="542">
        <v>14482</v>
      </c>
    </row>
    <row r="17" spans="1:12" ht="12" customHeight="1">
      <c r="A17" s="1511" t="s">
        <v>700</v>
      </c>
      <c r="B17" s="1492">
        <v>6</v>
      </c>
      <c r="C17" s="1492">
        <v>10</v>
      </c>
      <c r="D17" s="1512">
        <v>0.99</v>
      </c>
      <c r="E17" s="1515">
        <v>13545</v>
      </c>
      <c r="F17" s="1476"/>
      <c r="G17" s="1476"/>
      <c r="H17" s="1490" t="s">
        <v>1710</v>
      </c>
      <c r="I17" s="1492">
        <v>8</v>
      </c>
      <c r="J17" s="1492">
        <v>10</v>
      </c>
      <c r="K17" s="1514">
        <v>1</v>
      </c>
      <c r="L17" s="542">
        <v>15046</v>
      </c>
    </row>
    <row r="18" spans="1:12" ht="12" customHeight="1">
      <c r="A18" s="1511" t="s">
        <v>701</v>
      </c>
      <c r="B18" s="1492">
        <v>10</v>
      </c>
      <c r="C18" s="1492">
        <v>12</v>
      </c>
      <c r="D18" s="1512">
        <v>1.2</v>
      </c>
      <c r="E18" s="1515">
        <v>24828</v>
      </c>
      <c r="F18" s="1476"/>
      <c r="G18" s="1476"/>
      <c r="H18" s="1490" t="s">
        <v>2004</v>
      </c>
      <c r="I18" s="1492">
        <v>24</v>
      </c>
      <c r="J18" s="1492">
        <v>10</v>
      </c>
      <c r="K18" s="1514">
        <v>1.8</v>
      </c>
      <c r="L18" s="542">
        <v>39278</v>
      </c>
    </row>
    <row r="19" spans="1:12" ht="12" customHeight="1" thickBot="1">
      <c r="A19" s="1516" t="s">
        <v>702</v>
      </c>
      <c r="B19" s="1496">
        <v>70</v>
      </c>
      <c r="C19" s="1496">
        <v>24</v>
      </c>
      <c r="D19" s="1517">
        <v>7.1</v>
      </c>
      <c r="E19" s="1518">
        <v>78761</v>
      </c>
      <c r="F19" s="1476"/>
      <c r="G19" s="1476"/>
      <c r="H19" s="1494" t="s">
        <v>2005</v>
      </c>
      <c r="I19" s="1496">
        <v>60</v>
      </c>
      <c r="J19" s="1496">
        <v>10</v>
      </c>
      <c r="K19" s="1519">
        <v>4.4</v>
      </c>
      <c r="L19" s="543">
        <v>62299</v>
      </c>
    </row>
    <row r="20" spans="1:12" ht="15.75" customHeight="1">
      <c r="A20" s="2347" t="s">
        <v>2001</v>
      </c>
      <c r="B20" s="2347"/>
      <c r="C20" s="2347"/>
      <c r="D20" s="2347"/>
      <c r="E20" s="2347"/>
      <c r="F20" s="2347"/>
      <c r="G20" s="2347"/>
      <c r="H20" s="2347"/>
      <c r="I20" s="2347"/>
      <c r="J20" s="2347"/>
      <c r="K20" s="2347"/>
      <c r="L20" s="2347"/>
    </row>
    <row r="21" spans="1:12" s="1521" customFormat="1" ht="12" customHeight="1">
      <c r="A21" s="2351" t="s">
        <v>66</v>
      </c>
      <c r="B21" s="2351"/>
      <c r="C21" s="2351"/>
      <c r="D21" s="2351"/>
      <c r="E21" s="2351"/>
      <c r="F21" s="2351"/>
      <c r="G21" s="2351"/>
      <c r="H21" s="2351"/>
      <c r="I21" s="2351"/>
      <c r="J21" s="2351"/>
      <c r="K21" s="2351"/>
      <c r="L21" s="2351"/>
    </row>
    <row r="22" spans="1:12" s="1521" customFormat="1" ht="12" customHeight="1">
      <c r="A22" s="2351" t="s">
        <v>1789</v>
      </c>
      <c r="B22" s="2351"/>
      <c r="C22" s="2351"/>
      <c r="D22" s="2351"/>
      <c r="E22" s="2351"/>
      <c r="F22" s="2351"/>
      <c r="G22" s="2351"/>
      <c r="H22" s="2351"/>
      <c r="I22" s="2351"/>
      <c r="J22" s="2351"/>
      <c r="K22" s="2351"/>
      <c r="L22" s="2351"/>
    </row>
    <row r="23" spans="1:12" s="1521" customFormat="1" ht="12" customHeight="1">
      <c r="A23" s="2351" t="s">
        <v>1774</v>
      </c>
      <c r="B23" s="2351"/>
      <c r="C23" s="2351"/>
      <c r="D23" s="2351"/>
      <c r="E23" s="2351"/>
      <c r="F23" s="2351"/>
      <c r="G23" s="2351"/>
      <c r="H23" s="2351"/>
      <c r="I23" s="2351"/>
      <c r="J23" s="2351"/>
      <c r="K23" s="2351"/>
      <c r="L23" s="2351"/>
    </row>
    <row r="24" spans="1:12" ht="12" customHeight="1" thickBot="1">
      <c r="A24" s="1475" t="s">
        <v>67</v>
      </c>
      <c r="B24" s="1476"/>
      <c r="C24" s="1476"/>
      <c r="D24" s="1476"/>
      <c r="E24" s="1477"/>
      <c r="F24" s="1476"/>
      <c r="G24" s="1476"/>
      <c r="H24" s="1499" t="s">
        <v>1791</v>
      </c>
      <c r="I24" s="1476"/>
      <c r="J24" s="1476"/>
      <c r="K24" s="1476"/>
      <c r="L24" s="1477"/>
    </row>
    <row r="25" spans="1:12" s="1506" customFormat="1" ht="12" customHeight="1" thickBot="1">
      <c r="A25" s="1500" t="s">
        <v>171</v>
      </c>
      <c r="B25" s="1501" t="s">
        <v>399</v>
      </c>
      <c r="C25" s="1500" t="s">
        <v>400</v>
      </c>
      <c r="D25" s="1501" t="s">
        <v>401</v>
      </c>
      <c r="E25" s="1502" t="s">
        <v>1969</v>
      </c>
      <c r="F25" s="1503"/>
      <c r="G25" s="1503"/>
      <c r="H25" s="1500" t="s">
        <v>171</v>
      </c>
      <c r="I25" s="1500" t="s">
        <v>399</v>
      </c>
      <c r="J25" s="1501" t="s">
        <v>400</v>
      </c>
      <c r="K25" s="1500" t="s">
        <v>401</v>
      </c>
      <c r="L25" s="1522" t="s">
        <v>1969</v>
      </c>
    </row>
    <row r="26" spans="1:12" ht="12" customHeight="1" thickBot="1">
      <c r="A26" s="1523" t="s">
        <v>48</v>
      </c>
      <c r="B26" s="1524">
        <v>8</v>
      </c>
      <c r="C26" s="1524">
        <v>17</v>
      </c>
      <c r="D26" s="1524">
        <v>1.5</v>
      </c>
      <c r="E26" s="1525">
        <v>35916</v>
      </c>
      <c r="F26" s="1476"/>
      <c r="G26" s="1476"/>
      <c r="H26" s="1526" t="s">
        <v>49</v>
      </c>
      <c r="I26" s="1524">
        <v>8</v>
      </c>
      <c r="J26" s="1524">
        <v>10</v>
      </c>
      <c r="K26" s="1524">
        <v>1.2</v>
      </c>
      <c r="L26" s="1525">
        <v>37412</v>
      </c>
    </row>
    <row r="27" spans="1:12" ht="12" customHeight="1">
      <c r="A27" s="1476"/>
      <c r="B27" s="1476"/>
      <c r="C27" s="1475" t="s">
        <v>59</v>
      </c>
      <c r="D27" s="1476"/>
      <c r="E27" s="1477"/>
      <c r="F27" s="1476"/>
      <c r="G27" s="1476"/>
      <c r="H27" s="1520"/>
      <c r="I27" s="1520"/>
      <c r="J27" s="1520"/>
      <c r="K27" s="1520"/>
      <c r="L27" s="1474"/>
    </row>
    <row r="28" spans="1:12" ht="12" customHeight="1">
      <c r="A28" s="2346" t="s">
        <v>1919</v>
      </c>
      <c r="B28" s="2346"/>
      <c r="C28" s="2346"/>
      <c r="D28" s="2346"/>
      <c r="E28" s="2346"/>
      <c r="F28" s="2346"/>
      <c r="G28" s="2346"/>
      <c r="H28" s="2346"/>
      <c r="I28" s="2346"/>
      <c r="J28" s="2346"/>
      <c r="K28" s="2346"/>
      <c r="L28" s="2346"/>
    </row>
    <row r="29" spans="1:12" ht="12" customHeight="1" thickBot="1">
      <c r="A29" s="1475" t="s">
        <v>63</v>
      </c>
      <c r="B29" s="1499"/>
      <c r="C29" s="1476"/>
      <c r="D29" s="1476"/>
      <c r="E29" s="1477"/>
      <c r="F29" s="1476"/>
      <c r="G29" s="1476"/>
      <c r="H29" s="1475" t="s">
        <v>61</v>
      </c>
      <c r="I29" s="1499"/>
      <c r="J29" s="1476"/>
      <c r="K29" s="1476"/>
      <c r="L29" s="1477"/>
    </row>
    <row r="30" spans="1:12" ht="12" customHeight="1" thickBot="1">
      <c r="A30" s="1303" t="s">
        <v>171</v>
      </c>
      <c r="B30" s="1227" t="s">
        <v>399</v>
      </c>
      <c r="C30" s="1241" t="s">
        <v>400</v>
      </c>
      <c r="D30" s="1227" t="s">
        <v>401</v>
      </c>
      <c r="E30" s="1244" t="s">
        <v>1969</v>
      </c>
      <c r="F30" s="8"/>
      <c r="G30" s="8"/>
      <c r="H30" s="1303" t="s">
        <v>171</v>
      </c>
      <c r="I30" s="1227" t="s">
        <v>399</v>
      </c>
      <c r="J30" s="1241" t="s">
        <v>400</v>
      </c>
      <c r="K30" s="1227" t="s">
        <v>401</v>
      </c>
      <c r="L30" s="1244" t="s">
        <v>1969</v>
      </c>
    </row>
    <row r="31" spans="1:12" ht="12" customHeight="1">
      <c r="A31" s="1485" t="s">
        <v>689</v>
      </c>
      <c r="B31" s="1487">
        <v>36</v>
      </c>
      <c r="C31" s="1487">
        <v>25.5</v>
      </c>
      <c r="D31" s="1487"/>
      <c r="E31" s="1489">
        <f>15350*1.07</f>
        <v>16424.5</v>
      </c>
      <c r="F31" s="1498"/>
      <c r="G31" s="1498"/>
      <c r="H31" s="1527" t="s">
        <v>1920</v>
      </c>
      <c r="I31" s="1487">
        <v>20</v>
      </c>
      <c r="J31" s="1487">
        <v>12</v>
      </c>
      <c r="K31" s="1487">
        <v>1.5</v>
      </c>
      <c r="L31" s="1489">
        <f>18900*1.07</f>
        <v>20223</v>
      </c>
    </row>
    <row r="32" spans="1:12" ht="12" customHeight="1" thickBot="1">
      <c r="A32" s="1494" t="s">
        <v>1921</v>
      </c>
      <c r="B32" s="1496">
        <v>30</v>
      </c>
      <c r="C32" s="1496">
        <v>16.5</v>
      </c>
      <c r="D32" s="1496">
        <v>1.1</v>
      </c>
      <c r="E32" s="543">
        <f>14812*1.07</f>
        <v>15848.84</v>
      </c>
      <c r="F32" s="1476"/>
      <c r="G32" s="1476"/>
      <c r="H32" s="1528" t="s">
        <v>1922</v>
      </c>
      <c r="I32" s="1496">
        <v>35</v>
      </c>
      <c r="J32" s="1496">
        <v>20</v>
      </c>
      <c r="K32" s="1496">
        <v>4</v>
      </c>
      <c r="L32" s="543">
        <f>27900*1.07</f>
        <v>29853</v>
      </c>
    </row>
    <row r="33" spans="1:12" ht="12" customHeight="1">
      <c r="A33" s="1529"/>
      <c r="B33" s="13"/>
      <c r="C33" s="13"/>
      <c r="D33" s="1530" t="s">
        <v>94</v>
      </c>
      <c r="E33" s="1531"/>
      <c r="F33" s="1532"/>
      <c r="G33" s="1532"/>
      <c r="H33" s="13"/>
      <c r="I33" s="13"/>
      <c r="J33" s="13"/>
      <c r="K33" s="13"/>
      <c r="L33" s="1531"/>
    </row>
    <row r="34" spans="1:12" ht="12" customHeight="1" thickBot="1">
      <c r="A34" s="2355" t="s">
        <v>2009</v>
      </c>
      <c r="B34" s="2356"/>
      <c r="C34" s="2356"/>
      <c r="D34" s="2356"/>
      <c r="E34" s="2356"/>
      <c r="F34" s="2356"/>
      <c r="G34" s="2356"/>
      <c r="H34" s="2356"/>
      <c r="I34" s="2356"/>
      <c r="J34" s="2356"/>
      <c r="K34" s="2356"/>
      <c r="L34" s="2356"/>
    </row>
    <row r="35" spans="1:12" s="1506" customFormat="1" ht="12" customHeight="1" thickBot="1">
      <c r="A35" s="1533" t="s">
        <v>398</v>
      </c>
      <c r="B35" s="1534" t="s">
        <v>1963</v>
      </c>
      <c r="C35" s="1533" t="s">
        <v>1964</v>
      </c>
      <c r="D35" s="1505" t="s">
        <v>401</v>
      </c>
      <c r="E35" s="1535" t="s">
        <v>1969</v>
      </c>
      <c r="F35" s="1503"/>
      <c r="G35" s="1503"/>
      <c r="H35" s="1533" t="s">
        <v>398</v>
      </c>
      <c r="I35" s="1534" t="s">
        <v>1963</v>
      </c>
      <c r="J35" s="1533" t="s">
        <v>1964</v>
      </c>
      <c r="K35" s="1505" t="s">
        <v>401</v>
      </c>
      <c r="L35" s="1535" t="s">
        <v>1969</v>
      </c>
    </row>
    <row r="36" spans="1:12" ht="12" customHeight="1">
      <c r="A36" s="1485" t="s">
        <v>268</v>
      </c>
      <c r="B36" s="1536">
        <v>1050</v>
      </c>
      <c r="C36" s="1536">
        <v>110</v>
      </c>
      <c r="D36" s="1487">
        <v>535</v>
      </c>
      <c r="E36" s="1537" t="s">
        <v>405</v>
      </c>
      <c r="F36" s="1476"/>
      <c r="G36" s="1476"/>
      <c r="H36" s="1538" t="s">
        <v>271</v>
      </c>
      <c r="I36" s="1536">
        <v>30</v>
      </c>
      <c r="J36" s="1536">
        <v>450</v>
      </c>
      <c r="K36" s="1487">
        <v>65</v>
      </c>
      <c r="L36" s="1537" t="s">
        <v>405</v>
      </c>
    </row>
    <row r="37" spans="1:12" ht="12" customHeight="1">
      <c r="A37" s="1490" t="s">
        <v>264</v>
      </c>
      <c r="B37" s="1539">
        <v>300</v>
      </c>
      <c r="C37" s="1539">
        <v>180</v>
      </c>
      <c r="D37" s="1492">
        <v>220</v>
      </c>
      <c r="E37" s="1540" t="s">
        <v>405</v>
      </c>
      <c r="F37" s="1476"/>
      <c r="G37" s="1476"/>
      <c r="H37" s="1541" t="s">
        <v>272</v>
      </c>
      <c r="I37" s="1539">
        <v>1800</v>
      </c>
      <c r="J37" s="1539">
        <v>30</v>
      </c>
      <c r="K37" s="1492">
        <v>225</v>
      </c>
      <c r="L37" s="1540" t="s">
        <v>405</v>
      </c>
    </row>
    <row r="38" spans="1:12" ht="12" customHeight="1">
      <c r="A38" s="1490" t="s">
        <v>269</v>
      </c>
      <c r="B38" s="1539">
        <v>750</v>
      </c>
      <c r="C38" s="1539">
        <v>150</v>
      </c>
      <c r="D38" s="1492">
        <v>445</v>
      </c>
      <c r="E38" s="1540" t="s">
        <v>405</v>
      </c>
      <c r="F38" s="1476"/>
      <c r="G38" s="1476"/>
      <c r="H38" s="1541" t="s">
        <v>273</v>
      </c>
      <c r="I38" s="1539">
        <v>1020</v>
      </c>
      <c r="J38" s="1539">
        <v>82</v>
      </c>
      <c r="K38" s="1492">
        <v>375</v>
      </c>
      <c r="L38" s="1540" t="s">
        <v>405</v>
      </c>
    </row>
    <row r="39" spans="1:12" ht="12" customHeight="1" thickBot="1">
      <c r="A39" s="1494" t="s">
        <v>270</v>
      </c>
      <c r="B39" s="1542">
        <v>1500</v>
      </c>
      <c r="C39" s="1542">
        <v>90</v>
      </c>
      <c r="D39" s="1496">
        <v>490</v>
      </c>
      <c r="E39" s="1543" t="s">
        <v>405</v>
      </c>
      <c r="F39" s="1544"/>
      <c r="G39" s="1544"/>
      <c r="H39" s="1545" t="s">
        <v>274</v>
      </c>
      <c r="I39" s="1542">
        <v>3610</v>
      </c>
      <c r="J39" s="1542">
        <v>26</v>
      </c>
      <c r="K39" s="1496">
        <v>535</v>
      </c>
      <c r="L39" s="1543" t="s">
        <v>405</v>
      </c>
    </row>
    <row r="40" spans="1:12" ht="14.25" customHeight="1">
      <c r="A40" s="2353" t="s">
        <v>1806</v>
      </c>
      <c r="B40" s="2353"/>
      <c r="C40" s="2353"/>
      <c r="D40" s="2353"/>
      <c r="E40" s="2353"/>
      <c r="F40" s="2353"/>
      <c r="G40" s="2353"/>
      <c r="H40" s="2353"/>
      <c r="I40" s="2353"/>
      <c r="J40" s="2353"/>
      <c r="K40" s="2353"/>
      <c r="L40" s="2353"/>
    </row>
    <row r="41" spans="1:12" ht="12" customHeight="1">
      <c r="A41" s="2354" t="s">
        <v>384</v>
      </c>
      <c r="B41" s="2354"/>
      <c r="C41" s="2354"/>
      <c r="D41" s="2354"/>
      <c r="E41" s="2354"/>
      <c r="F41" s="2354"/>
      <c r="G41" s="2354"/>
      <c r="H41" s="2354"/>
      <c r="I41" s="2354"/>
      <c r="J41" s="2354"/>
      <c r="K41" s="2354"/>
      <c r="L41" s="2354"/>
    </row>
    <row r="42" spans="1:12" ht="12.75" customHeight="1" thickBot="1">
      <c r="A42" s="1546" t="s">
        <v>1807</v>
      </c>
      <c r="B42" s="1547"/>
      <c r="C42" s="1547"/>
      <c r="D42" s="1547"/>
      <c r="E42" s="1474" t="s">
        <v>2076</v>
      </c>
      <c r="F42" s="1547"/>
      <c r="G42" s="1547"/>
      <c r="H42" s="1530" t="s">
        <v>581</v>
      </c>
      <c r="I42" s="1547"/>
      <c r="J42" s="1548"/>
      <c r="K42" s="1548"/>
      <c r="L42" s="1549"/>
    </row>
    <row r="43" spans="1:12" s="1506" customFormat="1" ht="12.75" customHeight="1" thickBot="1">
      <c r="A43" s="1550" t="s">
        <v>398</v>
      </c>
      <c r="B43" s="1550" t="s">
        <v>1963</v>
      </c>
      <c r="C43" s="1550" t="s">
        <v>1964</v>
      </c>
      <c r="D43" s="1550" t="s">
        <v>1955</v>
      </c>
      <c r="E43" s="1551" t="s">
        <v>117</v>
      </c>
      <c r="F43" s="1552"/>
      <c r="G43" s="1552"/>
      <c r="H43" s="1550" t="s">
        <v>398</v>
      </c>
      <c r="I43" s="1550" t="s">
        <v>1963</v>
      </c>
      <c r="J43" s="1550" t="s">
        <v>1964</v>
      </c>
      <c r="K43" s="1550" t="s">
        <v>1955</v>
      </c>
      <c r="L43" s="1551" t="s">
        <v>1969</v>
      </c>
    </row>
    <row r="44" spans="1:12" ht="12" customHeight="1">
      <c r="A44" s="1553" t="s">
        <v>427</v>
      </c>
      <c r="B44" s="1554" t="s">
        <v>437</v>
      </c>
      <c r="C44" s="1554" t="s">
        <v>438</v>
      </c>
      <c r="D44" s="1554" t="s">
        <v>1832</v>
      </c>
      <c r="E44" s="1555">
        <v>5582</v>
      </c>
      <c r="F44" s="1556"/>
      <c r="G44" s="1556"/>
      <c r="H44" s="1485" t="s">
        <v>605</v>
      </c>
      <c r="I44" s="1536">
        <v>2</v>
      </c>
      <c r="J44" s="1536">
        <v>60</v>
      </c>
      <c r="K44" s="1536">
        <v>1.1</v>
      </c>
      <c r="L44" s="1489">
        <v>19091</v>
      </c>
    </row>
    <row r="45" spans="1:12" ht="12" customHeight="1">
      <c r="A45" s="1557" t="s">
        <v>428</v>
      </c>
      <c r="B45" s="1558" t="s">
        <v>1958</v>
      </c>
      <c r="C45" s="1558" t="s">
        <v>439</v>
      </c>
      <c r="D45" s="1558" t="s">
        <v>1839</v>
      </c>
      <c r="E45" s="1559">
        <v>9484</v>
      </c>
      <c r="F45" s="1560"/>
      <c r="G45" s="1560"/>
      <c r="H45" s="1490" t="s">
        <v>545</v>
      </c>
      <c r="I45" s="1539">
        <v>2</v>
      </c>
      <c r="J45" s="1539">
        <v>120</v>
      </c>
      <c r="K45" s="1539">
        <v>2.2</v>
      </c>
      <c r="L45" s="542">
        <v>33713</v>
      </c>
    </row>
    <row r="46" spans="1:12" ht="12" customHeight="1">
      <c r="A46" s="1557" t="s">
        <v>429</v>
      </c>
      <c r="B46" s="1558" t="s">
        <v>445</v>
      </c>
      <c r="C46" s="1558" t="s">
        <v>444</v>
      </c>
      <c r="D46" s="1558" t="s">
        <v>440</v>
      </c>
      <c r="E46" s="1559">
        <v>16058</v>
      </c>
      <c r="F46" s="1560"/>
      <c r="G46" s="1560"/>
      <c r="H46" s="1490" t="s">
        <v>546</v>
      </c>
      <c r="I46" s="1539">
        <v>2</v>
      </c>
      <c r="J46" s="1539">
        <v>160</v>
      </c>
      <c r="K46" s="1539">
        <v>3</v>
      </c>
      <c r="L46" s="542">
        <v>38877</v>
      </c>
    </row>
    <row r="47" spans="1:12" ht="12" customHeight="1">
      <c r="A47" s="1557" t="s">
        <v>432</v>
      </c>
      <c r="B47" s="1558" t="s">
        <v>446</v>
      </c>
      <c r="C47" s="1558" t="s">
        <v>1833</v>
      </c>
      <c r="D47" s="1558" t="s">
        <v>447</v>
      </c>
      <c r="E47" s="1559">
        <v>20036</v>
      </c>
      <c r="F47" s="1560"/>
      <c r="G47" s="1560"/>
      <c r="H47" s="1490" t="s">
        <v>2007</v>
      </c>
      <c r="I47" s="1539">
        <v>4</v>
      </c>
      <c r="J47" s="1539">
        <v>100</v>
      </c>
      <c r="K47" s="1539">
        <v>2.2</v>
      </c>
      <c r="L47" s="542">
        <v>29238</v>
      </c>
    </row>
    <row r="48" spans="1:12" ht="12" customHeight="1">
      <c r="A48" s="1557" t="s">
        <v>431</v>
      </c>
      <c r="B48" s="1558" t="s">
        <v>438</v>
      </c>
      <c r="C48" s="1558" t="s">
        <v>449</v>
      </c>
      <c r="D48" s="1558" t="s">
        <v>448</v>
      </c>
      <c r="E48" s="1559">
        <v>30388</v>
      </c>
      <c r="F48" s="1560"/>
      <c r="G48" s="1560"/>
      <c r="H48" s="1490" t="s">
        <v>591</v>
      </c>
      <c r="I48" s="1539">
        <v>6</v>
      </c>
      <c r="J48" s="1539">
        <v>40</v>
      </c>
      <c r="K48" s="1539">
        <v>1.5</v>
      </c>
      <c r="L48" s="542">
        <v>21574</v>
      </c>
    </row>
    <row r="49" spans="1:12" ht="12" customHeight="1">
      <c r="A49" s="1557" t="s">
        <v>430</v>
      </c>
      <c r="B49" s="1558" t="s">
        <v>438</v>
      </c>
      <c r="C49" s="1558" t="s">
        <v>450</v>
      </c>
      <c r="D49" s="1558" t="s">
        <v>451</v>
      </c>
      <c r="E49" s="1559">
        <v>49034</v>
      </c>
      <c r="F49" s="1560"/>
      <c r="G49" s="1560"/>
      <c r="H49" s="1490" t="s">
        <v>592</v>
      </c>
      <c r="I49" s="1539">
        <v>8</v>
      </c>
      <c r="J49" s="1539">
        <v>40</v>
      </c>
      <c r="K49" s="1539">
        <v>1.5</v>
      </c>
      <c r="L49" s="542">
        <v>28160</v>
      </c>
    </row>
    <row r="50" spans="1:12" ht="12" customHeight="1">
      <c r="A50" s="1557" t="s">
        <v>434</v>
      </c>
      <c r="B50" s="1558" t="s">
        <v>1834</v>
      </c>
      <c r="C50" s="1558" t="s">
        <v>453</v>
      </c>
      <c r="D50" s="1558" t="s">
        <v>452</v>
      </c>
      <c r="E50" s="1559">
        <v>64794</v>
      </c>
      <c r="F50" s="1560"/>
      <c r="G50" s="1560"/>
      <c r="H50" s="1490" t="s">
        <v>603</v>
      </c>
      <c r="I50" s="1539">
        <v>12</v>
      </c>
      <c r="J50" s="1539">
        <v>80</v>
      </c>
      <c r="K50" s="1539">
        <v>5.5</v>
      </c>
      <c r="L50" s="542">
        <v>45780</v>
      </c>
    </row>
    <row r="51" spans="1:12" ht="12" customHeight="1">
      <c r="A51" s="1557" t="s">
        <v>435</v>
      </c>
      <c r="B51" s="1558" t="s">
        <v>1835</v>
      </c>
      <c r="C51" s="1558" t="s">
        <v>455</v>
      </c>
      <c r="D51" s="1558" t="s">
        <v>454</v>
      </c>
      <c r="E51" s="1559">
        <v>63832</v>
      </c>
      <c r="F51" s="1560"/>
      <c r="G51" s="1560"/>
      <c r="H51" s="1490" t="s">
        <v>604</v>
      </c>
      <c r="I51" s="1539">
        <v>16</v>
      </c>
      <c r="J51" s="1539">
        <v>100</v>
      </c>
      <c r="K51" s="1539">
        <v>7.5</v>
      </c>
      <c r="L51" s="542">
        <v>56954</v>
      </c>
    </row>
    <row r="52" spans="1:12" ht="12" customHeight="1">
      <c r="A52" s="1557" t="s">
        <v>433</v>
      </c>
      <c r="B52" s="1558" t="s">
        <v>456</v>
      </c>
      <c r="C52" s="1558" t="s">
        <v>457</v>
      </c>
      <c r="D52" s="1558" t="s">
        <v>451</v>
      </c>
      <c r="E52" s="1559">
        <v>46836</v>
      </c>
      <c r="F52" s="1560"/>
      <c r="G52" s="1560"/>
      <c r="H52" s="1490" t="s">
        <v>602</v>
      </c>
      <c r="I52" s="1492">
        <v>35</v>
      </c>
      <c r="J52" s="1492">
        <v>80</v>
      </c>
      <c r="K52" s="1492">
        <v>11</v>
      </c>
      <c r="L52" s="542">
        <v>92644</v>
      </c>
    </row>
    <row r="53" spans="1:12" ht="12" customHeight="1" thickBot="1">
      <c r="A53" s="1561" t="s">
        <v>436</v>
      </c>
      <c r="B53" s="1562" t="s">
        <v>458</v>
      </c>
      <c r="C53" s="1562" t="s">
        <v>1834</v>
      </c>
      <c r="D53" s="1562" t="s">
        <v>459</v>
      </c>
      <c r="E53" s="1563">
        <v>92898</v>
      </c>
      <c r="F53" s="1560"/>
      <c r="G53" s="1560"/>
      <c r="H53" s="1494" t="s">
        <v>547</v>
      </c>
      <c r="I53" s="1496">
        <v>50</v>
      </c>
      <c r="J53" s="1496">
        <v>100</v>
      </c>
      <c r="K53" s="1496">
        <v>22</v>
      </c>
      <c r="L53" s="543">
        <v>140746</v>
      </c>
    </row>
    <row r="54" spans="1:12" ht="13.5" customHeight="1" thickBot="1">
      <c r="A54" s="2348" t="s">
        <v>606</v>
      </c>
      <c r="B54" s="2348"/>
      <c r="C54" s="2348"/>
      <c r="D54" s="2348"/>
      <c r="E54" s="2348"/>
      <c r="F54" s="2348"/>
      <c r="G54" s="2348"/>
      <c r="H54" s="2348"/>
      <c r="I54" s="2348"/>
      <c r="J54" s="2348"/>
      <c r="K54" s="2348"/>
      <c r="L54" s="2348"/>
    </row>
    <row r="55" spans="1:12" s="1506" customFormat="1" ht="12" customHeight="1" thickBot="1">
      <c r="A55" s="1564" t="s">
        <v>398</v>
      </c>
      <c r="B55" s="1565"/>
      <c r="C55" s="1566" t="s">
        <v>617</v>
      </c>
      <c r="D55" s="1567" t="s">
        <v>1964</v>
      </c>
      <c r="E55" s="1568" t="s">
        <v>117</v>
      </c>
      <c r="F55" s="1569"/>
      <c r="G55" s="1569"/>
      <c r="H55" s="1564" t="s">
        <v>398</v>
      </c>
      <c r="I55" s="1565"/>
      <c r="J55" s="1570" t="s">
        <v>617</v>
      </c>
      <c r="K55" s="1570" t="s">
        <v>1964</v>
      </c>
      <c r="L55" s="1571" t="s">
        <v>117</v>
      </c>
    </row>
    <row r="56" spans="1:12" ht="12" customHeight="1" thickBot="1">
      <c r="A56" s="1553" t="s">
        <v>615</v>
      </c>
      <c r="B56" s="1554"/>
      <c r="C56" s="1554" t="s">
        <v>1830</v>
      </c>
      <c r="D56" s="1554" t="s">
        <v>609</v>
      </c>
      <c r="E56" s="1555">
        <v>170623</v>
      </c>
      <c r="F56" s="1572"/>
      <c r="G56" s="1560"/>
      <c r="H56" s="1507" t="s">
        <v>618</v>
      </c>
      <c r="I56" s="1573"/>
      <c r="J56" s="1487">
        <v>5.2</v>
      </c>
      <c r="K56" s="1487">
        <v>42</v>
      </c>
      <c r="L56" s="1489">
        <v>108854</v>
      </c>
    </row>
    <row r="57" spans="1:12" ht="12.75" customHeight="1">
      <c r="A57" s="1557" t="s">
        <v>607</v>
      </c>
      <c r="B57" s="1558"/>
      <c r="C57" s="1558" t="s">
        <v>610</v>
      </c>
      <c r="D57" s="1558" t="s">
        <v>1838</v>
      </c>
      <c r="E57" s="1559">
        <v>213236</v>
      </c>
      <c r="F57" s="1560"/>
      <c r="G57" s="1560"/>
      <c r="H57" s="1511" t="s">
        <v>619</v>
      </c>
      <c r="I57" s="1574"/>
      <c r="J57" s="1492">
        <v>7</v>
      </c>
      <c r="K57" s="1492">
        <v>45</v>
      </c>
      <c r="L57" s="542">
        <v>139749</v>
      </c>
    </row>
    <row r="58" spans="1:12" ht="12.75" customHeight="1">
      <c r="A58" s="1557" t="s">
        <v>608</v>
      </c>
      <c r="B58" s="1558"/>
      <c r="C58" s="1558" t="s">
        <v>448</v>
      </c>
      <c r="D58" s="1558" t="s">
        <v>611</v>
      </c>
      <c r="E58" s="1559">
        <v>210094</v>
      </c>
      <c r="F58" s="1575"/>
      <c r="G58" s="1575"/>
      <c r="H58" s="1511" t="s">
        <v>620</v>
      </c>
      <c r="I58" s="1574"/>
      <c r="J58" s="1492"/>
      <c r="K58" s="1492"/>
      <c r="L58" s="542">
        <v>149344</v>
      </c>
    </row>
    <row r="59" spans="1:12" ht="12.75" customHeight="1">
      <c r="A59" s="1557" t="s">
        <v>616</v>
      </c>
      <c r="B59" s="1558"/>
      <c r="C59" s="1558" t="s">
        <v>612</v>
      </c>
      <c r="D59" s="1558" t="s">
        <v>613</v>
      </c>
      <c r="E59" s="1559">
        <v>263327</v>
      </c>
      <c r="F59" s="1575"/>
      <c r="G59" s="1575"/>
      <c r="H59" s="1511" t="s">
        <v>621</v>
      </c>
      <c r="I59" s="1574"/>
      <c r="J59" s="1492"/>
      <c r="K59" s="1492"/>
      <c r="L59" s="542">
        <v>185763</v>
      </c>
    </row>
    <row r="60" spans="1:12" ht="12.75" customHeight="1" thickBot="1">
      <c r="A60" s="1561" t="s">
        <v>614</v>
      </c>
      <c r="B60" s="1562"/>
      <c r="C60" s="1562" t="s">
        <v>1830</v>
      </c>
      <c r="D60" s="1562" t="s">
        <v>1834</v>
      </c>
      <c r="E60" s="1563">
        <v>81044</v>
      </c>
      <c r="F60" s="1576"/>
      <c r="G60" s="1577"/>
      <c r="H60" s="1578" t="s">
        <v>622</v>
      </c>
      <c r="I60" s="1579"/>
      <c r="J60" s="1496"/>
      <c r="K60" s="1496"/>
      <c r="L60" s="543">
        <v>196811</v>
      </c>
    </row>
    <row r="61" spans="1:12" ht="12.75" customHeight="1">
      <c r="A61" s="2349" t="s">
        <v>64</v>
      </c>
      <c r="B61" s="2349"/>
      <c r="C61" s="2349"/>
      <c r="D61" s="2349"/>
      <c r="E61" s="2349"/>
      <c r="F61" s="2349"/>
      <c r="G61" s="2350"/>
      <c r="H61" s="2349"/>
      <c r="I61" s="2349"/>
      <c r="J61" s="2349"/>
      <c r="K61" s="2349"/>
      <c r="L61" s="2349"/>
    </row>
    <row r="62" spans="1:12" ht="12.75" customHeight="1">
      <c r="A62" s="2350" t="s">
        <v>65</v>
      </c>
      <c r="B62" s="2350"/>
      <c r="C62" s="2350"/>
      <c r="D62" s="2350"/>
      <c r="E62" s="2350"/>
      <c r="F62" s="2350"/>
      <c r="G62" s="2350"/>
      <c r="H62" s="2350"/>
      <c r="I62" s="2350"/>
      <c r="J62" s="2350"/>
      <c r="K62" s="2350"/>
      <c r="L62" s="2350"/>
    </row>
    <row r="63" spans="1:12" ht="12.75" customHeight="1" thickBot="1">
      <c r="A63" s="1547" t="s">
        <v>67</v>
      </c>
      <c r="B63" s="1520"/>
      <c r="C63" s="1520"/>
      <c r="D63" s="1580"/>
      <c r="E63" s="1580"/>
      <c r="F63" s="1581"/>
      <c r="G63" s="1581"/>
      <c r="H63" s="1582" t="s">
        <v>62</v>
      </c>
      <c r="I63" s="1547"/>
      <c r="J63" s="1520"/>
      <c r="K63" s="1520"/>
      <c r="L63" s="1520"/>
    </row>
    <row r="64" spans="1:12" s="1506" customFormat="1" ht="12.75" customHeight="1" thickBot="1">
      <c r="A64" s="1583" t="s">
        <v>398</v>
      </c>
      <c r="B64" s="1584" t="s">
        <v>399</v>
      </c>
      <c r="C64" s="1584" t="s">
        <v>1964</v>
      </c>
      <c r="D64" s="1584" t="s">
        <v>1956</v>
      </c>
      <c r="E64" s="1585" t="s">
        <v>939</v>
      </c>
      <c r="F64" s="1586"/>
      <c r="G64" s="1586"/>
      <c r="H64" s="1583" t="s">
        <v>398</v>
      </c>
      <c r="I64" s="1584" t="s">
        <v>399</v>
      </c>
      <c r="J64" s="1584" t="s">
        <v>1964</v>
      </c>
      <c r="K64" s="1584" t="s">
        <v>1956</v>
      </c>
      <c r="L64" s="1585" t="s">
        <v>939</v>
      </c>
    </row>
    <row r="65" spans="1:12" ht="12.75" customHeight="1" thickBot="1">
      <c r="A65" s="1485" t="s">
        <v>631</v>
      </c>
      <c r="B65" s="1587">
        <v>1.25</v>
      </c>
      <c r="C65" s="1587">
        <v>35</v>
      </c>
      <c r="D65" s="1587">
        <v>0.37</v>
      </c>
      <c r="E65" s="1489">
        <v>15821</v>
      </c>
      <c r="F65" s="1556"/>
      <c r="G65" s="1556"/>
      <c r="H65" s="1588" t="s">
        <v>73</v>
      </c>
      <c r="I65" s="1587">
        <v>1</v>
      </c>
      <c r="J65" s="1587">
        <v>65</v>
      </c>
      <c r="K65" s="1587">
        <v>0.56</v>
      </c>
      <c r="L65" s="1489">
        <v>22352</v>
      </c>
    </row>
    <row r="66" spans="1:12" ht="12.75" customHeight="1" thickBot="1">
      <c r="A66" s="1490" t="s">
        <v>630</v>
      </c>
      <c r="B66" s="1589">
        <v>2</v>
      </c>
      <c r="C66" s="1589">
        <v>55</v>
      </c>
      <c r="D66" s="1589">
        <v>0.75</v>
      </c>
      <c r="E66" s="542">
        <v>16713</v>
      </c>
      <c r="F66" s="1590"/>
      <c r="G66" s="544"/>
      <c r="H66" s="1591" t="s">
        <v>476</v>
      </c>
      <c r="I66" s="1589">
        <v>2</v>
      </c>
      <c r="J66" s="1589">
        <v>55</v>
      </c>
      <c r="K66" s="1589">
        <v>0.65</v>
      </c>
      <c r="L66" s="542">
        <v>21161</v>
      </c>
    </row>
    <row r="67" spans="1:12" ht="12.75" customHeight="1" thickBot="1">
      <c r="A67" s="1494" t="s">
        <v>629</v>
      </c>
      <c r="B67" s="1592">
        <v>3.5</v>
      </c>
      <c r="C67" s="1592">
        <v>73</v>
      </c>
      <c r="D67" s="1592">
        <v>2.2</v>
      </c>
      <c r="E67" s="543">
        <v>23853</v>
      </c>
      <c r="F67" s="1593"/>
      <c r="G67" s="544"/>
      <c r="H67" s="1545" t="s">
        <v>2019</v>
      </c>
      <c r="I67" s="1496">
        <v>6</v>
      </c>
      <c r="J67" s="1496">
        <v>140</v>
      </c>
      <c r="K67" s="1496">
        <v>5.5</v>
      </c>
      <c r="L67" s="543">
        <v>88060</v>
      </c>
    </row>
    <row r="68" spans="1:12" ht="4.5" customHeight="1">
      <c r="A68" s="1594"/>
      <c r="B68" s="1595"/>
      <c r="C68" s="1595"/>
      <c r="D68" s="1595"/>
      <c r="E68" s="544"/>
      <c r="F68" s="544"/>
      <c r="G68" s="544"/>
      <c r="H68" s="1544"/>
      <c r="I68" s="1596"/>
      <c r="J68" s="1596"/>
      <c r="K68" s="1596"/>
      <c r="L68" s="544"/>
    </row>
    <row r="69" spans="1:12" ht="12.75" customHeight="1" thickBot="1">
      <c r="A69" s="2374" t="s">
        <v>736</v>
      </c>
      <c r="B69" s="2374"/>
      <c r="C69" s="2374"/>
      <c r="D69" s="2374"/>
      <c r="E69" s="2374"/>
      <c r="F69" s="2374"/>
      <c r="G69" s="2357"/>
      <c r="H69" s="2374"/>
      <c r="I69" s="2374"/>
      <c r="J69" s="2374"/>
      <c r="K69" s="2374"/>
      <c r="L69" s="2374"/>
    </row>
    <row r="70" spans="1:12" ht="10.5" customHeight="1" thickBot="1">
      <c r="A70" s="2359" t="s">
        <v>737</v>
      </c>
      <c r="B70" s="2360"/>
      <c r="C70" s="32" t="s">
        <v>738</v>
      </c>
      <c r="D70" s="26" t="s">
        <v>739</v>
      </c>
      <c r="E70" s="33" t="s">
        <v>173</v>
      </c>
      <c r="F70" s="25" t="s">
        <v>173</v>
      </c>
      <c r="G70" s="30"/>
      <c r="H70" s="2359" t="s">
        <v>737</v>
      </c>
      <c r="I70" s="2360"/>
      <c r="J70" s="32" t="s">
        <v>738</v>
      </c>
      <c r="K70" s="26" t="s">
        <v>739</v>
      </c>
      <c r="L70" s="33" t="s">
        <v>173</v>
      </c>
    </row>
    <row r="71" spans="1:12" s="13" customFormat="1" ht="12" customHeight="1" thickBot="1">
      <c r="A71" s="2375" t="s">
        <v>1494</v>
      </c>
      <c r="B71" s="2376"/>
      <c r="C71" s="2376"/>
      <c r="D71" s="2376"/>
      <c r="E71" s="2376"/>
      <c r="F71" s="2377"/>
      <c r="G71" s="31"/>
      <c r="H71" s="2378" t="s">
        <v>750</v>
      </c>
      <c r="I71" s="2379"/>
      <c r="J71" s="2379"/>
      <c r="K71" s="2379"/>
      <c r="L71" s="2380"/>
    </row>
    <row r="72" spans="1:12" s="13" customFormat="1" ht="11.25" customHeight="1">
      <c r="A72" s="2362" t="s">
        <v>1495</v>
      </c>
      <c r="B72" s="2363"/>
      <c r="C72" s="566">
        <v>50</v>
      </c>
      <c r="D72" s="553">
        <v>10</v>
      </c>
      <c r="E72" s="562">
        <v>1028</v>
      </c>
      <c r="F72" s="1597">
        <v>780</v>
      </c>
      <c r="G72" s="31"/>
      <c r="H72" s="2362" t="s">
        <v>747</v>
      </c>
      <c r="I72" s="2363"/>
      <c r="J72" s="553">
        <v>50</v>
      </c>
      <c r="K72" s="553">
        <v>16</v>
      </c>
      <c r="L72" s="554">
        <v>485</v>
      </c>
    </row>
    <row r="73" spans="1:12" s="13" customFormat="1" ht="11.25" customHeight="1">
      <c r="A73" s="2369"/>
      <c r="B73" s="2370"/>
      <c r="C73" s="567">
        <v>80</v>
      </c>
      <c r="D73" s="555">
        <v>10</v>
      </c>
      <c r="E73" s="563">
        <v>1686</v>
      </c>
      <c r="F73" s="563">
        <v>1786</v>
      </c>
      <c r="G73" s="31"/>
      <c r="H73" s="2369" t="s">
        <v>162</v>
      </c>
      <c r="I73" s="2370"/>
      <c r="J73" s="555">
        <v>80</v>
      </c>
      <c r="K73" s="555">
        <v>16</v>
      </c>
      <c r="L73" s="556">
        <v>492</v>
      </c>
    </row>
    <row r="74" spans="1:12" s="13" customFormat="1" ht="11.25" customHeight="1">
      <c r="A74" s="2367" t="s">
        <v>1496</v>
      </c>
      <c r="B74" s="2368"/>
      <c r="C74" s="567">
        <v>100</v>
      </c>
      <c r="D74" s="555">
        <v>10</v>
      </c>
      <c r="E74" s="563">
        <v>2008</v>
      </c>
      <c r="F74" s="563">
        <v>2375</v>
      </c>
      <c r="G74" s="31"/>
      <c r="H74" s="2367" t="s">
        <v>748</v>
      </c>
      <c r="I74" s="2368"/>
      <c r="J74" s="555">
        <v>100</v>
      </c>
      <c r="K74" s="555">
        <v>16</v>
      </c>
      <c r="L74" s="555">
        <v>618</v>
      </c>
    </row>
    <row r="75" spans="1:12" s="13" customFormat="1" ht="11.25" customHeight="1">
      <c r="A75" s="2367"/>
      <c r="B75" s="2368"/>
      <c r="C75" s="567">
        <v>125</v>
      </c>
      <c r="D75" s="555">
        <v>10</v>
      </c>
      <c r="E75" s="563">
        <v>3778</v>
      </c>
      <c r="F75" s="563">
        <v>4125</v>
      </c>
      <c r="G75" s="31"/>
      <c r="H75" s="2367" t="s">
        <v>749</v>
      </c>
      <c r="I75" s="2368"/>
      <c r="J75" s="555">
        <v>150</v>
      </c>
      <c r="K75" s="555">
        <v>16</v>
      </c>
      <c r="L75" s="555">
        <v>1035</v>
      </c>
    </row>
    <row r="76" spans="1:12" s="13" customFormat="1" ht="11.25" customHeight="1" thickBot="1">
      <c r="A76" s="2367" t="s">
        <v>1497</v>
      </c>
      <c r="B76" s="2368"/>
      <c r="C76" s="567">
        <v>150</v>
      </c>
      <c r="D76" s="555">
        <v>10</v>
      </c>
      <c r="E76" s="563">
        <v>4559</v>
      </c>
      <c r="F76" s="563">
        <v>4463</v>
      </c>
      <c r="G76" s="31"/>
      <c r="H76" s="2365" t="s">
        <v>743</v>
      </c>
      <c r="I76" s="2366"/>
      <c r="J76" s="558">
        <v>200</v>
      </c>
      <c r="K76" s="558">
        <v>16</v>
      </c>
      <c r="L76" s="558">
        <v>1870</v>
      </c>
    </row>
    <row r="77" spans="1:12" s="13" customFormat="1" ht="11.25" customHeight="1">
      <c r="A77" s="2367" t="s">
        <v>1498</v>
      </c>
      <c r="B77" s="2368"/>
      <c r="C77" s="567">
        <v>200</v>
      </c>
      <c r="D77" s="555">
        <v>10</v>
      </c>
      <c r="E77" s="563">
        <v>8129</v>
      </c>
      <c r="F77" s="563">
        <v>8875</v>
      </c>
      <c r="G77" s="31"/>
      <c r="H77" s="2362" t="s">
        <v>741</v>
      </c>
      <c r="I77" s="2363"/>
      <c r="J77" s="555">
        <v>25</v>
      </c>
      <c r="K77" s="555">
        <v>16</v>
      </c>
      <c r="L77" s="556">
        <v>160</v>
      </c>
    </row>
    <row r="78" spans="1:12" s="13" customFormat="1" ht="11.25" customHeight="1">
      <c r="A78" s="2367" t="s">
        <v>1499</v>
      </c>
      <c r="B78" s="2368"/>
      <c r="C78" s="567">
        <v>250</v>
      </c>
      <c r="D78" s="555">
        <v>10</v>
      </c>
      <c r="E78" s="563">
        <v>15840</v>
      </c>
      <c r="F78" s="563">
        <v>13900</v>
      </c>
      <c r="G78" s="31"/>
      <c r="H78" s="2369" t="s">
        <v>163</v>
      </c>
      <c r="I78" s="2370"/>
      <c r="J78" s="555">
        <v>32</v>
      </c>
      <c r="K78" s="555">
        <v>16</v>
      </c>
      <c r="L78" s="556">
        <v>185</v>
      </c>
    </row>
    <row r="79" spans="1:12" s="13" customFormat="1" ht="11.25" customHeight="1" thickBot="1">
      <c r="A79" s="2365"/>
      <c r="B79" s="2366"/>
      <c r="C79" s="568">
        <v>300</v>
      </c>
      <c r="D79" s="558">
        <v>10</v>
      </c>
      <c r="E79" s="564">
        <v>21773</v>
      </c>
      <c r="F79" s="563">
        <v>19500</v>
      </c>
      <c r="G79" s="31"/>
      <c r="H79" s="2367" t="s">
        <v>742</v>
      </c>
      <c r="I79" s="2368"/>
      <c r="J79" s="555">
        <v>40</v>
      </c>
      <c r="K79" s="555">
        <v>16</v>
      </c>
      <c r="L79" s="556">
        <v>190</v>
      </c>
    </row>
    <row r="80" spans="1:12" s="13" customFormat="1" ht="11.25" customHeight="1" thickBot="1">
      <c r="A80" s="2362" t="s">
        <v>1500</v>
      </c>
      <c r="B80" s="2363"/>
      <c r="C80" s="566">
        <v>50</v>
      </c>
      <c r="D80" s="553">
        <v>16</v>
      </c>
      <c r="E80" s="562">
        <v>1911</v>
      </c>
      <c r="F80" s="563" t="s">
        <v>337</v>
      </c>
      <c r="G80" s="31"/>
      <c r="H80" s="2365" t="s">
        <v>743</v>
      </c>
      <c r="I80" s="2366"/>
      <c r="J80" s="558">
        <v>50</v>
      </c>
      <c r="K80" s="558">
        <v>16</v>
      </c>
      <c r="L80" s="559">
        <v>240</v>
      </c>
    </row>
    <row r="81" spans="1:12" s="13" customFormat="1" ht="11.25" customHeight="1">
      <c r="A81" s="2367" t="s">
        <v>752</v>
      </c>
      <c r="B81" s="2368"/>
      <c r="C81" s="567">
        <v>80</v>
      </c>
      <c r="D81" s="555">
        <v>16</v>
      </c>
      <c r="E81" s="563">
        <v>2599</v>
      </c>
      <c r="F81" s="563">
        <v>60000</v>
      </c>
      <c r="G81" s="31"/>
      <c r="H81" s="560" t="s">
        <v>744</v>
      </c>
      <c r="I81" s="561"/>
      <c r="J81" s="553">
        <v>25</v>
      </c>
      <c r="K81" s="553">
        <v>16</v>
      </c>
      <c r="L81" s="562">
        <v>243</v>
      </c>
    </row>
    <row r="82" spans="1:12" s="13" customFormat="1" ht="11.25" customHeight="1" thickBot="1">
      <c r="A82" s="2365" t="s">
        <v>753</v>
      </c>
      <c r="B82" s="2366"/>
      <c r="C82" s="568">
        <v>100</v>
      </c>
      <c r="D82" s="558">
        <v>16</v>
      </c>
      <c r="E82" s="564">
        <v>3365</v>
      </c>
      <c r="F82" s="1598">
        <v>174500</v>
      </c>
      <c r="G82" s="31"/>
      <c r="H82" s="2367" t="s">
        <v>745</v>
      </c>
      <c r="I82" s="2368"/>
      <c r="J82" s="555">
        <v>32</v>
      </c>
      <c r="K82" s="555">
        <v>16</v>
      </c>
      <c r="L82" s="563">
        <v>359</v>
      </c>
    </row>
    <row r="83" spans="1:12" s="13" customFormat="1" ht="11.25" customHeight="1">
      <c r="A83" s="2362" t="s">
        <v>1501</v>
      </c>
      <c r="B83" s="2363"/>
      <c r="C83" s="566">
        <v>50</v>
      </c>
      <c r="D83" s="553">
        <v>10</v>
      </c>
      <c r="E83" s="569">
        <v>2058</v>
      </c>
      <c r="F83" s="29"/>
      <c r="G83" s="31"/>
      <c r="H83" s="2369" t="s">
        <v>164</v>
      </c>
      <c r="I83" s="2370"/>
      <c r="J83" s="555">
        <v>40</v>
      </c>
      <c r="K83" s="555">
        <v>16</v>
      </c>
      <c r="L83" s="563">
        <v>462</v>
      </c>
    </row>
    <row r="84" spans="1:12" s="13" customFormat="1" ht="11.25" customHeight="1" thickBot="1">
      <c r="A84" s="2369"/>
      <c r="B84" s="2370"/>
      <c r="C84" s="567">
        <v>80</v>
      </c>
      <c r="D84" s="555">
        <v>10</v>
      </c>
      <c r="E84" s="570">
        <v>2917</v>
      </c>
      <c r="F84" s="29"/>
      <c r="G84" s="31"/>
      <c r="H84" s="2365" t="s">
        <v>746</v>
      </c>
      <c r="I84" s="2366"/>
      <c r="J84" s="558">
        <v>50</v>
      </c>
      <c r="K84" s="558">
        <v>16</v>
      </c>
      <c r="L84" s="564">
        <v>850</v>
      </c>
    </row>
    <row r="85" spans="1:12" s="13" customFormat="1" ht="11.25" customHeight="1">
      <c r="A85" s="2367" t="s">
        <v>1502</v>
      </c>
      <c r="B85" s="2368"/>
      <c r="C85" s="567">
        <v>100</v>
      </c>
      <c r="D85" s="555">
        <v>10</v>
      </c>
      <c r="E85" s="570">
        <v>3505</v>
      </c>
      <c r="F85" s="29"/>
      <c r="G85" s="31"/>
      <c r="H85" s="2362" t="s">
        <v>740</v>
      </c>
      <c r="I85" s="2363"/>
      <c r="J85" s="553">
        <v>15</v>
      </c>
      <c r="K85" s="553">
        <v>10</v>
      </c>
      <c r="L85" s="562">
        <v>58</v>
      </c>
    </row>
    <row r="86" spans="1:12" s="13" customFormat="1" ht="11.25" customHeight="1">
      <c r="A86" s="2367" t="s">
        <v>1503</v>
      </c>
      <c r="B86" s="2368"/>
      <c r="C86" s="567">
        <v>150</v>
      </c>
      <c r="D86" s="555">
        <v>10</v>
      </c>
      <c r="E86" s="570">
        <v>5262</v>
      </c>
      <c r="F86" s="29"/>
      <c r="G86" s="31"/>
      <c r="H86" s="2369" t="s">
        <v>165</v>
      </c>
      <c r="I86" s="2370"/>
      <c r="J86" s="555">
        <v>20</v>
      </c>
      <c r="K86" s="555">
        <v>10</v>
      </c>
      <c r="L86" s="563">
        <v>101</v>
      </c>
    </row>
    <row r="87" spans="1:12" s="13" customFormat="1" ht="11.25" customHeight="1" thickBot="1">
      <c r="A87" s="2365" t="s">
        <v>1504</v>
      </c>
      <c r="B87" s="2366"/>
      <c r="C87" s="568">
        <v>200</v>
      </c>
      <c r="D87" s="558">
        <v>10</v>
      </c>
      <c r="E87" s="557">
        <v>7578</v>
      </c>
      <c r="F87" s="1599"/>
      <c r="G87" s="609"/>
      <c r="H87" s="2365" t="s">
        <v>751</v>
      </c>
      <c r="I87" s="2366"/>
      <c r="J87" s="558">
        <v>32</v>
      </c>
      <c r="K87" s="558">
        <v>10</v>
      </c>
      <c r="L87" s="565">
        <v>189</v>
      </c>
    </row>
    <row r="88" spans="1:12" ht="12" customHeight="1">
      <c r="A88" s="14" t="s">
        <v>754</v>
      </c>
      <c r="B88" s="1600"/>
      <c r="C88" s="1600"/>
      <c r="D88" s="1600"/>
      <c r="E88" s="1600"/>
      <c r="F88" s="1600"/>
      <c r="G88" s="1600"/>
      <c r="H88" s="1600"/>
      <c r="I88" s="1600"/>
      <c r="J88" s="1600"/>
      <c r="K88" s="1600"/>
      <c r="L88" s="22" t="s">
        <v>735</v>
      </c>
    </row>
    <row r="89" spans="1:17" ht="12" customHeight="1">
      <c r="A89" s="2364"/>
      <c r="B89" s="2364"/>
      <c r="C89" s="2364"/>
      <c r="D89" s="2364"/>
      <c r="E89" s="2364"/>
      <c r="F89" s="2364"/>
      <c r="G89" s="2364"/>
      <c r="H89" s="2364"/>
      <c r="I89" s="2364"/>
      <c r="J89" s="2364"/>
      <c r="K89" s="2364"/>
      <c r="L89" s="2364"/>
      <c r="M89" s="2364"/>
      <c r="N89" s="2364"/>
      <c r="O89" s="2364"/>
      <c r="P89" s="2364"/>
      <c r="Q89" s="2364"/>
    </row>
    <row r="90" spans="1:17" s="6" customFormat="1" ht="18.75" customHeight="1">
      <c r="A90" s="2280"/>
      <c r="B90" s="2280"/>
      <c r="C90" s="2280"/>
      <c r="D90" s="2280"/>
      <c r="E90" s="2280"/>
      <c r="F90" s="2280"/>
      <c r="G90" s="2280"/>
      <c r="H90" s="2280"/>
      <c r="I90" s="2280"/>
      <c r="J90" s="2280"/>
      <c r="K90" s="2280"/>
      <c r="L90" s="2280"/>
      <c r="M90" s="7"/>
      <c r="N90" s="7"/>
      <c r="O90" s="7"/>
      <c r="P90" s="21"/>
      <c r="Q90" s="21"/>
    </row>
    <row r="91" spans="1:17" s="5" customFormat="1" ht="9.75" customHeight="1">
      <c r="A91" s="34"/>
      <c r="B91" s="2361"/>
      <c r="C91" s="2361"/>
      <c r="D91" s="34"/>
      <c r="E91" s="34"/>
      <c r="F91" s="35"/>
      <c r="G91" s="24"/>
      <c r="H91" s="34"/>
      <c r="I91" s="34"/>
      <c r="J91" s="34"/>
      <c r="K91" s="34"/>
      <c r="L91" s="35"/>
      <c r="M91" s="24"/>
      <c r="N91" s="24"/>
      <c r="O91" s="24"/>
      <c r="P91" s="36"/>
      <c r="Q91" s="36"/>
    </row>
    <row r="92" spans="1:17" s="6" customFormat="1" ht="10.5" customHeight="1">
      <c r="A92" s="2371"/>
      <c r="B92" s="2371"/>
      <c r="C92" s="2371"/>
      <c r="D92" s="2371"/>
      <c r="E92" s="2371"/>
      <c r="F92" s="2371"/>
      <c r="G92" s="7"/>
      <c r="H92" s="37"/>
      <c r="I92" s="7"/>
      <c r="J92" s="7"/>
      <c r="K92" s="7"/>
      <c r="L92" s="18"/>
      <c r="M92" s="7"/>
      <c r="N92" s="7"/>
      <c r="O92" s="7"/>
      <c r="P92" s="21"/>
      <c r="Q92" s="21"/>
    </row>
    <row r="93" spans="1:17" s="6" customFormat="1" ht="10.5" customHeight="1">
      <c r="A93" s="12"/>
      <c r="B93" s="2372"/>
      <c r="C93" s="2372"/>
      <c r="D93" s="27"/>
      <c r="E93" s="28"/>
      <c r="F93" s="1601"/>
      <c r="G93" s="7"/>
      <c r="H93" s="38"/>
      <c r="I93" s="27"/>
      <c r="J93" s="27"/>
      <c r="K93" s="39"/>
      <c r="L93" s="1601"/>
      <c r="M93" s="7"/>
      <c r="N93" s="7"/>
      <c r="O93" s="7"/>
      <c r="P93" s="21"/>
      <c r="Q93" s="21"/>
    </row>
    <row r="94" spans="1:17" s="6" customFormat="1" ht="10.5" customHeight="1">
      <c r="A94" s="12"/>
      <c r="B94" s="2372"/>
      <c r="C94" s="2372"/>
      <c r="D94" s="27"/>
      <c r="E94" s="28"/>
      <c r="F94" s="28"/>
      <c r="G94" s="7"/>
      <c r="H94" s="12"/>
      <c r="I94" s="27"/>
      <c r="J94" s="27"/>
      <c r="K94" s="39"/>
      <c r="L94" s="1601"/>
      <c r="M94" s="7"/>
      <c r="N94" s="7"/>
      <c r="O94" s="7"/>
      <c r="P94" s="21"/>
      <c r="Q94" s="21"/>
    </row>
    <row r="95" spans="1:17" s="6" customFormat="1" ht="10.5" customHeight="1">
      <c r="A95" s="2358"/>
      <c r="B95" s="2372"/>
      <c r="C95" s="2372"/>
      <c r="D95" s="27"/>
      <c r="E95" s="28"/>
      <c r="F95" s="28"/>
      <c r="G95" s="7"/>
      <c r="H95" s="27"/>
      <c r="I95" s="27"/>
      <c r="J95" s="27"/>
      <c r="K95" s="39"/>
      <c r="L95" s="28"/>
      <c r="M95" s="7"/>
      <c r="N95" s="7"/>
      <c r="O95" s="7"/>
      <c r="P95" s="21"/>
      <c r="Q95" s="21"/>
    </row>
    <row r="96" spans="1:17" s="6" customFormat="1" ht="10.5" customHeight="1">
      <c r="A96" s="2358"/>
      <c r="B96" s="2372"/>
      <c r="C96" s="2372"/>
      <c r="D96" s="27"/>
      <c r="E96" s="28"/>
      <c r="F96" s="28"/>
      <c r="G96" s="7"/>
      <c r="H96" s="27"/>
      <c r="I96" s="27"/>
      <c r="J96" s="27"/>
      <c r="K96" s="39"/>
      <c r="L96" s="1601"/>
      <c r="M96" s="7"/>
      <c r="N96" s="7"/>
      <c r="O96" s="7"/>
      <c r="P96" s="21"/>
      <c r="Q96" s="21"/>
    </row>
    <row r="97" spans="1:17" s="6" customFormat="1" ht="10.5" customHeight="1">
      <c r="A97" s="2358"/>
      <c r="B97" s="2372"/>
      <c r="C97" s="2372"/>
      <c r="D97" s="27"/>
      <c r="E97" s="28"/>
      <c r="F97" s="28"/>
      <c r="G97" s="7"/>
      <c r="H97" s="27"/>
      <c r="I97" s="27"/>
      <c r="J97" s="27"/>
      <c r="K97" s="39"/>
      <c r="L97" s="1601"/>
      <c r="M97" s="7"/>
      <c r="N97" s="7"/>
      <c r="O97" s="7"/>
      <c r="P97" s="21"/>
      <c r="Q97" s="21"/>
    </row>
    <row r="98" spans="1:17" s="6" customFormat="1" ht="10.5" customHeight="1">
      <c r="A98" s="2358"/>
      <c r="B98" s="2372"/>
      <c r="C98" s="2372"/>
      <c r="D98" s="27"/>
      <c r="E98" s="28"/>
      <c r="F98" s="28"/>
      <c r="G98" s="7"/>
      <c r="H98" s="38"/>
      <c r="I98" s="27"/>
      <c r="J98" s="27"/>
      <c r="K98" s="39"/>
      <c r="L98" s="28"/>
      <c r="M98" s="7"/>
      <c r="N98" s="7"/>
      <c r="O98" s="7"/>
      <c r="P98" s="21"/>
      <c r="Q98" s="21"/>
    </row>
    <row r="99" spans="1:17" s="6" customFormat="1" ht="10.5" customHeight="1">
      <c r="A99" s="12"/>
      <c r="B99" s="2372"/>
      <c r="C99" s="2372"/>
      <c r="D99" s="27"/>
      <c r="E99" s="28"/>
      <c r="F99" s="28"/>
      <c r="G99" s="7"/>
      <c r="H99" s="38"/>
      <c r="I99" s="27"/>
      <c r="J99" s="27"/>
      <c r="K99" s="39"/>
      <c r="L99" s="1601"/>
      <c r="M99" s="7"/>
      <c r="N99" s="7"/>
      <c r="O99" s="7"/>
      <c r="P99" s="21"/>
      <c r="Q99" s="21"/>
    </row>
    <row r="100" spans="1:17" s="6" customFormat="1" ht="10.5" customHeight="1">
      <c r="A100" s="12"/>
      <c r="B100" s="2372"/>
      <c r="C100" s="2372"/>
      <c r="D100" s="27"/>
      <c r="E100" s="28"/>
      <c r="F100" s="28"/>
      <c r="G100" s="7"/>
      <c r="H100" s="12"/>
      <c r="I100" s="27"/>
      <c r="J100" s="27"/>
      <c r="K100" s="39"/>
      <c r="L100" s="28"/>
      <c r="M100" s="7"/>
      <c r="N100" s="7"/>
      <c r="O100" s="7"/>
      <c r="P100" s="21"/>
      <c r="Q100" s="21"/>
    </row>
    <row r="101" spans="1:17" s="6" customFormat="1" ht="10.5" customHeight="1">
      <c r="A101" s="12"/>
      <c r="B101" s="2372"/>
      <c r="C101" s="2372"/>
      <c r="D101" s="27"/>
      <c r="E101" s="28"/>
      <c r="F101" s="28"/>
      <c r="G101" s="7"/>
      <c r="H101" s="27"/>
      <c r="I101" s="27"/>
      <c r="J101" s="27"/>
      <c r="K101" s="39"/>
      <c r="L101" s="1601"/>
      <c r="M101" s="7"/>
      <c r="N101" s="7"/>
      <c r="O101" s="7"/>
      <c r="P101" s="21"/>
      <c r="Q101" s="21"/>
    </row>
    <row r="102" spans="1:17" s="6" customFormat="1" ht="10.5" customHeight="1">
      <c r="A102" s="12"/>
      <c r="B102" s="2372"/>
      <c r="C102" s="2372"/>
      <c r="D102" s="27"/>
      <c r="E102" s="28"/>
      <c r="F102" s="28"/>
      <c r="G102" s="7"/>
      <c r="H102" s="27"/>
      <c r="I102" s="27"/>
      <c r="J102" s="27"/>
      <c r="K102" s="39"/>
      <c r="L102" s="1601"/>
      <c r="M102" s="7"/>
      <c r="N102" s="7"/>
      <c r="O102" s="7"/>
      <c r="P102" s="21"/>
      <c r="Q102" s="21"/>
    </row>
    <row r="103" spans="1:17" s="6" customFormat="1" ht="10.5" customHeight="1">
      <c r="A103" s="12"/>
      <c r="B103" s="2372"/>
      <c r="C103" s="2372"/>
      <c r="D103" s="27"/>
      <c r="E103" s="28"/>
      <c r="F103" s="28"/>
      <c r="G103" s="7"/>
      <c r="H103" s="27"/>
      <c r="I103" s="27"/>
      <c r="J103" s="27"/>
      <c r="K103" s="39"/>
      <c r="L103" s="1601"/>
      <c r="M103" s="7"/>
      <c r="N103" s="7"/>
      <c r="O103" s="7"/>
      <c r="P103" s="21"/>
      <c r="Q103" s="21"/>
    </row>
    <row r="104" spans="1:17" s="6" customFormat="1" ht="10.5" customHeight="1">
      <c r="A104" s="12"/>
      <c r="B104" s="8"/>
      <c r="C104" s="7"/>
      <c r="D104" s="8"/>
      <c r="E104" s="7"/>
      <c r="F104" s="11"/>
      <c r="G104" s="7"/>
      <c r="H104" s="38"/>
      <c r="I104" s="27"/>
      <c r="J104" s="27"/>
      <c r="K104" s="39"/>
      <c r="L104" s="1601"/>
      <c r="M104" s="7"/>
      <c r="N104" s="7"/>
      <c r="O104" s="7"/>
      <c r="P104" s="21"/>
      <c r="Q104" s="21"/>
    </row>
    <row r="105" spans="1:17" s="6" customFormat="1" ht="13.5" customHeight="1">
      <c r="A105" s="27"/>
      <c r="B105" s="8"/>
      <c r="C105" s="7"/>
      <c r="D105" s="8"/>
      <c r="E105" s="7"/>
      <c r="F105" s="11"/>
      <c r="G105" s="7"/>
      <c r="H105" s="12"/>
      <c r="I105" s="27"/>
      <c r="J105" s="27"/>
      <c r="K105" s="39"/>
      <c r="L105" s="28"/>
      <c r="M105" s="7"/>
      <c r="N105" s="7"/>
      <c r="O105" s="7"/>
      <c r="P105" s="21"/>
      <c r="Q105" s="21"/>
    </row>
    <row r="106" spans="1:17" s="6" customFormat="1" ht="10.5" customHeight="1">
      <c r="A106" s="8"/>
      <c r="B106" s="8"/>
      <c r="C106" s="7"/>
      <c r="D106" s="8"/>
      <c r="E106" s="7"/>
      <c r="F106" s="11"/>
      <c r="G106" s="7"/>
      <c r="H106" s="7"/>
      <c r="I106" s="27"/>
      <c r="J106" s="27"/>
      <c r="K106" s="39"/>
      <c r="L106" s="28"/>
      <c r="M106" s="7"/>
      <c r="N106" s="7"/>
      <c r="O106" s="7"/>
      <c r="P106" s="21"/>
      <c r="Q106" s="21"/>
    </row>
    <row r="107" spans="1:17" s="6" customFormat="1" ht="10.5" customHeight="1">
      <c r="A107" s="2358"/>
      <c r="B107" s="8"/>
      <c r="C107" s="7"/>
      <c r="D107" s="27"/>
      <c r="E107" s="7"/>
      <c r="F107" s="11"/>
      <c r="G107" s="7"/>
      <c r="H107" s="27"/>
      <c r="I107" s="27"/>
      <c r="J107" s="27"/>
      <c r="K107" s="39"/>
      <c r="L107" s="28"/>
      <c r="M107" s="7"/>
      <c r="N107" s="7"/>
      <c r="O107" s="7"/>
      <c r="P107" s="21"/>
      <c r="Q107" s="21"/>
    </row>
    <row r="108" spans="1:17" s="6" customFormat="1" ht="10.5" customHeight="1">
      <c r="A108" s="2358"/>
      <c r="B108" s="8"/>
      <c r="C108" s="7"/>
      <c r="D108" s="27"/>
      <c r="E108" s="7"/>
      <c r="F108" s="11"/>
      <c r="G108" s="7"/>
      <c r="H108" s="38"/>
      <c r="I108" s="27"/>
      <c r="J108" s="27"/>
      <c r="K108" s="39"/>
      <c r="L108" s="1601"/>
      <c r="M108" s="7"/>
      <c r="N108" s="7"/>
      <c r="O108" s="7"/>
      <c r="P108" s="21"/>
      <c r="Q108" s="21"/>
    </row>
    <row r="109" spans="1:17" s="6" customFormat="1" ht="11.25" customHeight="1">
      <c r="A109" s="27"/>
      <c r="B109" s="8"/>
      <c r="C109" s="7"/>
      <c r="D109" s="27"/>
      <c r="E109" s="7"/>
      <c r="F109" s="11"/>
      <c r="G109" s="7"/>
      <c r="H109" s="12"/>
      <c r="I109" s="27"/>
      <c r="J109" s="27"/>
      <c r="K109" s="39"/>
      <c r="L109" s="28"/>
      <c r="M109" s="7"/>
      <c r="N109" s="7"/>
      <c r="O109" s="7"/>
      <c r="P109" s="21"/>
      <c r="Q109" s="21"/>
    </row>
    <row r="110" spans="1:17" s="6" customFormat="1" ht="10.5" customHeight="1">
      <c r="A110" s="8"/>
      <c r="B110" s="8"/>
      <c r="C110" s="7"/>
      <c r="D110" s="8"/>
      <c r="E110" s="7"/>
      <c r="F110" s="11"/>
      <c r="G110" s="7"/>
      <c r="H110" s="27"/>
      <c r="I110" s="27"/>
      <c r="J110" s="27"/>
      <c r="K110" s="39"/>
      <c r="L110" s="28"/>
      <c r="M110" s="7"/>
      <c r="N110" s="7"/>
      <c r="O110" s="7"/>
      <c r="P110" s="21"/>
      <c r="Q110" s="21"/>
    </row>
    <row r="111" spans="1:17" s="6" customFormat="1" ht="10.5" customHeight="1">
      <c r="A111" s="27"/>
      <c r="B111" s="8"/>
      <c r="C111" s="7"/>
      <c r="D111" s="8"/>
      <c r="E111" s="7"/>
      <c r="F111" s="11"/>
      <c r="G111" s="7"/>
      <c r="H111" s="27"/>
      <c r="I111" s="27"/>
      <c r="J111" s="27"/>
      <c r="K111" s="39"/>
      <c r="L111" s="28"/>
      <c r="M111" s="7"/>
      <c r="N111" s="7"/>
      <c r="O111" s="7"/>
      <c r="P111" s="21"/>
      <c r="Q111" s="21"/>
    </row>
    <row r="112" spans="1:17" s="6" customFormat="1" ht="10.5" customHeight="1">
      <c r="A112" s="12"/>
      <c r="B112" s="27"/>
      <c r="C112" s="27"/>
      <c r="D112" s="27"/>
      <c r="E112" s="28"/>
      <c r="F112" s="28"/>
      <c r="G112" s="7"/>
      <c r="H112" s="12"/>
      <c r="I112" s="27"/>
      <c r="J112" s="27"/>
      <c r="K112" s="39"/>
      <c r="L112" s="28"/>
      <c r="M112" s="7"/>
      <c r="N112" s="7"/>
      <c r="O112" s="7"/>
      <c r="P112" s="21"/>
      <c r="Q112" s="21"/>
    </row>
    <row r="113" spans="1:17" s="6" customFormat="1" ht="10.5" customHeight="1">
      <c r="A113" s="12"/>
      <c r="B113" s="2372"/>
      <c r="C113" s="2372"/>
      <c r="D113" s="27"/>
      <c r="E113" s="28"/>
      <c r="F113" s="28"/>
      <c r="G113" s="7"/>
      <c r="H113" s="27"/>
      <c r="I113" s="27"/>
      <c r="J113" s="27"/>
      <c r="K113" s="39"/>
      <c r="L113" s="28"/>
      <c r="M113" s="7"/>
      <c r="N113" s="7"/>
      <c r="O113" s="7"/>
      <c r="P113" s="21"/>
      <c r="Q113" s="21"/>
    </row>
    <row r="114" spans="1:17" s="6" customFormat="1" ht="10.5" customHeight="1">
      <c r="A114" s="2358"/>
      <c r="B114" s="2372"/>
      <c r="C114" s="2372"/>
      <c r="D114" s="27"/>
      <c r="E114" s="28"/>
      <c r="F114" s="28"/>
      <c r="G114" s="7"/>
      <c r="H114" s="27"/>
      <c r="I114" s="27"/>
      <c r="J114" s="27"/>
      <c r="K114" s="39"/>
      <c r="L114" s="28"/>
      <c r="M114" s="7"/>
      <c r="N114" s="7"/>
      <c r="O114" s="7"/>
      <c r="P114" s="21"/>
      <c r="Q114" s="21"/>
    </row>
    <row r="115" spans="1:17" s="6" customFormat="1" ht="10.5" customHeight="1">
      <c r="A115" s="2358"/>
      <c r="B115" s="2372"/>
      <c r="C115" s="2372"/>
      <c r="D115" s="27"/>
      <c r="E115" s="28"/>
      <c r="F115" s="28"/>
      <c r="G115" s="7"/>
      <c r="H115" s="27"/>
      <c r="I115" s="27"/>
      <c r="J115" s="27"/>
      <c r="K115" s="39"/>
      <c r="L115" s="28"/>
      <c r="M115" s="7"/>
      <c r="N115" s="7"/>
      <c r="O115" s="7"/>
      <c r="P115" s="21"/>
      <c r="Q115" s="21"/>
    </row>
    <row r="116" spans="1:17" s="6" customFormat="1" ht="10.5" customHeight="1">
      <c r="A116" s="12"/>
      <c r="B116" s="2372"/>
      <c r="C116" s="2372"/>
      <c r="D116" s="27"/>
      <c r="E116" s="28"/>
      <c r="F116" s="28"/>
      <c r="G116" s="7"/>
      <c r="H116" s="12"/>
      <c r="I116" s="27"/>
      <c r="J116" s="27"/>
      <c r="K116" s="39"/>
      <c r="L116" s="28"/>
      <c r="M116" s="7"/>
      <c r="N116" s="7"/>
      <c r="O116" s="7"/>
      <c r="P116" s="21"/>
      <c r="Q116" s="21"/>
    </row>
    <row r="117" spans="1:17" s="6" customFormat="1" ht="10.5" customHeight="1">
      <c r="A117" s="12"/>
      <c r="B117" s="2372"/>
      <c r="C117" s="2372"/>
      <c r="D117" s="27"/>
      <c r="E117" s="28"/>
      <c r="F117" s="28"/>
      <c r="G117" s="7"/>
      <c r="H117" s="27"/>
      <c r="I117" s="27"/>
      <c r="J117" s="27"/>
      <c r="K117" s="39"/>
      <c r="L117" s="28"/>
      <c r="M117" s="7"/>
      <c r="N117" s="7"/>
      <c r="O117" s="7"/>
      <c r="P117" s="21"/>
      <c r="Q117" s="21"/>
    </row>
    <row r="118" spans="1:17" s="6" customFormat="1" ht="10.5" customHeight="1">
      <c r="A118" s="12"/>
      <c r="B118" s="2372"/>
      <c r="C118" s="2372"/>
      <c r="D118" s="27"/>
      <c r="E118" s="28"/>
      <c r="F118" s="28"/>
      <c r="G118" s="7"/>
      <c r="H118" s="27"/>
      <c r="I118" s="27"/>
      <c r="J118" s="27"/>
      <c r="K118" s="39"/>
      <c r="L118" s="28"/>
      <c r="M118" s="7"/>
      <c r="N118" s="7"/>
      <c r="O118" s="7"/>
      <c r="P118" s="21"/>
      <c r="Q118" s="21"/>
    </row>
    <row r="119" spans="1:17" s="6" customFormat="1" ht="10.5" customHeight="1">
      <c r="A119" s="12"/>
      <c r="B119" s="27"/>
      <c r="C119" s="27"/>
      <c r="D119" s="27"/>
      <c r="E119" s="28"/>
      <c r="F119" s="28"/>
      <c r="G119" s="7"/>
      <c r="H119" s="27"/>
      <c r="I119" s="27"/>
      <c r="J119" s="27"/>
      <c r="K119" s="39"/>
      <c r="L119" s="28"/>
      <c r="M119" s="7"/>
      <c r="N119" s="7"/>
      <c r="O119" s="7"/>
      <c r="P119" s="21"/>
      <c r="Q119" s="21"/>
    </row>
    <row r="120" spans="1:17" s="6" customFormat="1" ht="10.5" customHeight="1">
      <c r="A120" s="27"/>
      <c r="B120" s="27"/>
      <c r="C120" s="27"/>
      <c r="D120" s="27"/>
      <c r="E120" s="28"/>
      <c r="F120" s="28"/>
      <c r="G120" s="7"/>
      <c r="H120" s="27"/>
      <c r="I120" s="27"/>
      <c r="J120" s="27"/>
      <c r="K120" s="39"/>
      <c r="L120" s="28"/>
      <c r="M120" s="7"/>
      <c r="N120" s="7"/>
      <c r="O120" s="7"/>
      <c r="P120" s="21"/>
      <c r="Q120" s="21"/>
    </row>
    <row r="121" spans="1:17" s="6" customFormat="1" ht="12" customHeight="1">
      <c r="A121" s="27"/>
      <c r="B121" s="27"/>
      <c r="C121" s="27"/>
      <c r="D121" s="27"/>
      <c r="E121" s="28"/>
      <c r="F121" s="28"/>
      <c r="G121" s="7"/>
      <c r="H121" s="12"/>
      <c r="I121" s="12"/>
      <c r="J121" s="12"/>
      <c r="K121" s="12"/>
      <c r="L121" s="23"/>
      <c r="M121" s="7"/>
      <c r="N121" s="7"/>
      <c r="O121" s="7"/>
      <c r="P121" s="21"/>
      <c r="Q121" s="21"/>
    </row>
    <row r="122" spans="1:17" s="6" customFormat="1" ht="10.5" customHeight="1">
      <c r="A122" s="12"/>
      <c r="B122" s="27"/>
      <c r="C122" s="27"/>
      <c r="D122" s="27"/>
      <c r="E122" s="28"/>
      <c r="F122" s="28"/>
      <c r="G122" s="7"/>
      <c r="H122" s="12"/>
      <c r="I122" s="27"/>
      <c r="J122" s="27"/>
      <c r="K122" s="39"/>
      <c r="L122" s="1601"/>
      <c r="M122" s="7"/>
      <c r="N122" s="7"/>
      <c r="O122" s="7"/>
      <c r="P122" s="21"/>
      <c r="Q122" s="21"/>
    </row>
    <row r="123" spans="1:17" s="6" customFormat="1" ht="12" customHeight="1">
      <c r="A123" s="27"/>
      <c r="B123" s="27"/>
      <c r="C123" s="27"/>
      <c r="D123" s="27"/>
      <c r="E123" s="28"/>
      <c r="F123" s="28"/>
      <c r="G123" s="7"/>
      <c r="H123" s="27"/>
      <c r="I123" s="27"/>
      <c r="J123" s="27"/>
      <c r="K123" s="39"/>
      <c r="L123" s="1601"/>
      <c r="M123" s="7"/>
      <c r="N123" s="7"/>
      <c r="O123" s="7"/>
      <c r="P123" s="21"/>
      <c r="Q123" s="21"/>
    </row>
    <row r="124" spans="1:17" s="6" customFormat="1" ht="10.5" customHeight="1">
      <c r="A124" s="10"/>
      <c r="B124" s="8"/>
      <c r="C124" s="8"/>
      <c r="D124" s="8"/>
      <c r="E124" s="8"/>
      <c r="F124" s="18"/>
      <c r="G124" s="7"/>
      <c r="H124" s="8"/>
      <c r="I124" s="27"/>
      <c r="J124" s="27"/>
      <c r="K124" s="39"/>
      <c r="L124" s="28"/>
      <c r="M124" s="7"/>
      <c r="N124" s="7"/>
      <c r="O124" s="7"/>
      <c r="P124" s="21"/>
      <c r="Q124" s="21"/>
    </row>
    <row r="125" spans="1:17" s="6" customFormat="1" ht="10.5" customHeight="1">
      <c r="A125" s="8"/>
      <c r="B125" s="8"/>
      <c r="C125" s="8"/>
      <c r="D125" s="8"/>
      <c r="E125" s="8"/>
      <c r="F125" s="18"/>
      <c r="G125" s="7"/>
      <c r="H125" s="27"/>
      <c r="I125" s="27"/>
      <c r="J125" s="27"/>
      <c r="K125" s="39"/>
      <c r="L125" s="28"/>
      <c r="M125" s="7"/>
      <c r="N125" s="7"/>
      <c r="O125" s="7"/>
      <c r="P125" s="21"/>
      <c r="Q125" s="21"/>
    </row>
    <row r="126" spans="1:17" s="6" customFormat="1" ht="10.5" customHeight="1">
      <c r="A126" s="8"/>
      <c r="B126" s="8"/>
      <c r="C126" s="8"/>
      <c r="D126" s="8"/>
      <c r="E126" s="8"/>
      <c r="F126" s="18"/>
      <c r="G126" s="7"/>
      <c r="H126" s="27"/>
      <c r="I126" s="27"/>
      <c r="J126" s="27"/>
      <c r="K126" s="39"/>
      <c r="L126" s="28"/>
      <c r="M126" s="7"/>
      <c r="N126" s="7"/>
      <c r="O126" s="7"/>
      <c r="P126" s="21"/>
      <c r="Q126" s="21"/>
    </row>
    <row r="127" spans="1:17" s="6" customFormat="1" ht="12" customHeight="1">
      <c r="A127" s="27"/>
      <c r="B127" s="8"/>
      <c r="C127" s="8"/>
      <c r="D127" s="8"/>
      <c r="E127" s="8"/>
      <c r="F127" s="18"/>
      <c r="G127" s="7"/>
      <c r="H127" s="27"/>
      <c r="I127" s="27"/>
      <c r="J127" s="27"/>
      <c r="K127" s="39"/>
      <c r="L127" s="28"/>
      <c r="M127" s="7"/>
      <c r="N127" s="7"/>
      <c r="O127" s="7"/>
      <c r="P127" s="21"/>
      <c r="Q127" s="21"/>
    </row>
    <row r="128" spans="1:17" s="6" customFormat="1" ht="10.5" customHeight="1">
      <c r="A128" s="12"/>
      <c r="B128" s="27"/>
      <c r="C128" s="27"/>
      <c r="D128" s="27"/>
      <c r="E128" s="28"/>
      <c r="F128" s="28"/>
      <c r="G128" s="7"/>
      <c r="H128" s="38"/>
      <c r="I128" s="27"/>
      <c r="J128" s="27"/>
      <c r="K128" s="39"/>
      <c r="L128" s="28"/>
      <c r="M128" s="7"/>
      <c r="N128" s="7"/>
      <c r="O128" s="7"/>
      <c r="P128" s="21"/>
      <c r="Q128" s="21"/>
    </row>
    <row r="129" spans="1:17" s="6" customFormat="1" ht="10.5" customHeight="1">
      <c r="A129" s="12"/>
      <c r="B129" s="27"/>
      <c r="C129" s="27"/>
      <c r="D129" s="27"/>
      <c r="E129" s="28"/>
      <c r="F129" s="28"/>
      <c r="G129" s="7"/>
      <c r="H129" s="12"/>
      <c r="I129" s="27"/>
      <c r="J129" s="27"/>
      <c r="K129" s="39"/>
      <c r="L129" s="28"/>
      <c r="M129" s="7"/>
      <c r="N129" s="7"/>
      <c r="O129" s="7"/>
      <c r="P129" s="21"/>
      <c r="Q129" s="21"/>
    </row>
    <row r="130" spans="1:17" s="6" customFormat="1" ht="10.5" customHeight="1">
      <c r="A130" s="27"/>
      <c r="B130" s="27"/>
      <c r="C130" s="27"/>
      <c r="D130" s="27"/>
      <c r="E130" s="28"/>
      <c r="F130" s="28"/>
      <c r="G130" s="7"/>
      <c r="H130" s="27"/>
      <c r="I130" s="27"/>
      <c r="J130" s="27"/>
      <c r="K130" s="39"/>
      <c r="L130" s="28"/>
      <c r="M130" s="7"/>
      <c r="N130" s="7"/>
      <c r="O130" s="7"/>
      <c r="P130" s="21"/>
      <c r="Q130" s="21"/>
    </row>
    <row r="131" spans="1:17" s="6" customFormat="1" ht="10.5" customHeight="1">
      <c r="A131" s="27"/>
      <c r="B131" s="27"/>
      <c r="C131" s="27"/>
      <c r="D131" s="27"/>
      <c r="E131" s="28"/>
      <c r="F131" s="28"/>
      <c r="G131" s="7"/>
      <c r="H131" s="27"/>
      <c r="I131" s="27"/>
      <c r="J131" s="27"/>
      <c r="K131" s="39"/>
      <c r="L131" s="28"/>
      <c r="M131" s="7"/>
      <c r="N131" s="7"/>
      <c r="O131" s="7"/>
      <c r="P131" s="21"/>
      <c r="Q131" s="21"/>
    </row>
    <row r="132" spans="1:17" s="6" customFormat="1" ht="10.5" customHeight="1">
      <c r="A132" s="27"/>
      <c r="B132" s="27"/>
      <c r="C132" s="27"/>
      <c r="D132" s="27"/>
      <c r="E132" s="28"/>
      <c r="F132" s="28"/>
      <c r="G132" s="7"/>
      <c r="H132" s="27"/>
      <c r="I132" s="27"/>
      <c r="J132" s="27"/>
      <c r="K132" s="39"/>
      <c r="L132" s="28"/>
      <c r="M132" s="7"/>
      <c r="N132" s="7"/>
      <c r="O132" s="7"/>
      <c r="P132" s="21"/>
      <c r="Q132" s="21"/>
    </row>
    <row r="133" spans="1:17" s="6" customFormat="1" ht="12.75" customHeight="1">
      <c r="A133" s="12"/>
      <c r="B133" s="8"/>
      <c r="C133" s="7"/>
      <c r="D133" s="8"/>
      <c r="E133" s="8"/>
      <c r="F133" s="11"/>
      <c r="G133" s="7"/>
      <c r="H133" s="38"/>
      <c r="I133" s="27"/>
      <c r="J133" s="27"/>
      <c r="K133" s="39"/>
      <c r="L133" s="28"/>
      <c r="M133" s="7"/>
      <c r="N133" s="7"/>
      <c r="O133" s="7"/>
      <c r="P133" s="21"/>
      <c r="Q133" s="21"/>
    </row>
    <row r="134" spans="1:17" s="6" customFormat="1" ht="10.5" customHeight="1">
      <c r="A134" s="12"/>
      <c r="B134" s="8"/>
      <c r="C134" s="7"/>
      <c r="D134" s="8"/>
      <c r="E134" s="8"/>
      <c r="F134" s="11"/>
      <c r="G134" s="7"/>
      <c r="H134" s="38"/>
      <c r="I134" s="27"/>
      <c r="J134" s="27"/>
      <c r="K134" s="39"/>
      <c r="L134" s="28"/>
      <c r="M134" s="7"/>
      <c r="N134" s="7"/>
      <c r="O134" s="7"/>
      <c r="P134" s="21"/>
      <c r="Q134" s="21"/>
    </row>
    <row r="135" spans="1:17" s="6" customFormat="1" ht="10.5" customHeight="1">
      <c r="A135" s="8"/>
      <c r="B135" s="8"/>
      <c r="C135" s="7"/>
      <c r="D135" s="8"/>
      <c r="E135" s="8"/>
      <c r="F135" s="11"/>
      <c r="G135" s="7"/>
      <c r="H135" s="12"/>
      <c r="I135" s="27"/>
      <c r="J135" s="27"/>
      <c r="K135" s="39"/>
      <c r="L135" s="28"/>
      <c r="M135" s="7"/>
      <c r="N135" s="7"/>
      <c r="O135" s="7"/>
      <c r="P135" s="21"/>
      <c r="Q135" s="21"/>
    </row>
    <row r="136" spans="1:17" s="6" customFormat="1" ht="10.5" customHeight="1">
      <c r="A136" s="27"/>
      <c r="B136" s="8"/>
      <c r="C136" s="7"/>
      <c r="D136" s="8"/>
      <c r="E136" s="8"/>
      <c r="F136" s="11"/>
      <c r="G136" s="7"/>
      <c r="H136" s="27"/>
      <c r="I136" s="27"/>
      <c r="J136" s="27"/>
      <c r="K136" s="39"/>
      <c r="L136" s="28"/>
      <c r="M136" s="7"/>
      <c r="N136" s="7"/>
      <c r="O136" s="7"/>
      <c r="P136" s="21"/>
      <c r="Q136" s="21"/>
    </row>
    <row r="137" spans="1:17" s="6" customFormat="1" ht="10.5" customHeight="1">
      <c r="A137" s="8"/>
      <c r="B137" s="8"/>
      <c r="C137" s="7"/>
      <c r="D137" s="8"/>
      <c r="E137" s="8"/>
      <c r="F137" s="11"/>
      <c r="G137" s="7"/>
      <c r="H137" s="27"/>
      <c r="I137" s="27"/>
      <c r="J137" s="27"/>
      <c r="K137" s="39"/>
      <c r="L137" s="28"/>
      <c r="M137" s="7"/>
      <c r="N137" s="7"/>
      <c r="O137" s="7"/>
      <c r="P137" s="21"/>
      <c r="Q137" s="21"/>
    </row>
    <row r="138" spans="1:17" s="6" customFormat="1" ht="10.5" customHeight="1">
      <c r="A138" s="8"/>
      <c r="B138" s="8"/>
      <c r="C138" s="7"/>
      <c r="D138" s="8"/>
      <c r="E138" s="8"/>
      <c r="F138" s="11"/>
      <c r="G138" s="7"/>
      <c r="H138" s="38"/>
      <c r="I138" s="27"/>
      <c r="J138" s="27"/>
      <c r="K138" s="39"/>
      <c r="L138" s="28"/>
      <c r="M138" s="7"/>
      <c r="N138" s="7"/>
      <c r="O138" s="7"/>
      <c r="P138" s="21"/>
      <c r="Q138" s="21"/>
    </row>
    <row r="139" spans="1:17" s="6" customFormat="1" ht="10.5" customHeight="1">
      <c r="A139" s="7"/>
      <c r="B139" s="8"/>
      <c r="C139" s="7"/>
      <c r="D139" s="8"/>
      <c r="E139" s="8"/>
      <c r="F139" s="11"/>
      <c r="G139" s="7"/>
      <c r="H139" s="2371"/>
      <c r="I139" s="2382"/>
      <c r="J139" s="2382"/>
      <c r="K139" s="2382"/>
      <c r="L139" s="2382"/>
      <c r="M139" s="7"/>
      <c r="N139" s="7"/>
      <c r="O139" s="7"/>
      <c r="P139" s="21"/>
      <c r="Q139" s="21"/>
    </row>
    <row r="140" spans="1:17" s="6" customFormat="1" ht="15" customHeight="1">
      <c r="A140" s="2371"/>
      <c r="B140" s="2373"/>
      <c r="C140" s="2373"/>
      <c r="D140" s="2373"/>
      <c r="E140" s="2373"/>
      <c r="F140" s="2373"/>
      <c r="G140" s="7"/>
      <c r="H140" s="27"/>
      <c r="I140" s="8"/>
      <c r="J140" s="8"/>
      <c r="K140" s="7"/>
      <c r="L140" s="1602"/>
      <c r="M140" s="7"/>
      <c r="N140" s="7"/>
      <c r="O140" s="7"/>
      <c r="P140" s="21"/>
      <c r="Q140" s="21"/>
    </row>
    <row r="141" spans="1:17" ht="9" customHeight="1">
      <c r="A141" s="2358"/>
      <c r="B141" s="27"/>
      <c r="C141" s="27"/>
      <c r="D141" s="27"/>
      <c r="E141" s="28"/>
      <c r="F141" s="28"/>
      <c r="G141" s="7"/>
      <c r="H141" s="27"/>
      <c r="I141" s="8"/>
      <c r="J141" s="8"/>
      <c r="K141" s="7"/>
      <c r="L141" s="1602"/>
      <c r="M141" s="7"/>
      <c r="N141" s="7"/>
      <c r="O141" s="7"/>
      <c r="P141" s="21"/>
      <c r="Q141" s="21"/>
    </row>
    <row r="142" spans="1:17" ht="9" customHeight="1">
      <c r="A142" s="2358"/>
      <c r="B142" s="27"/>
      <c r="C142" s="27"/>
      <c r="D142" s="27"/>
      <c r="E142" s="28"/>
      <c r="F142" s="28"/>
      <c r="G142" s="7"/>
      <c r="H142" s="27"/>
      <c r="I142" s="8"/>
      <c r="J142" s="8"/>
      <c r="K142" s="7"/>
      <c r="L142" s="1602"/>
      <c r="M142" s="7"/>
      <c r="N142" s="7"/>
      <c r="O142" s="7"/>
      <c r="P142" s="21"/>
      <c r="Q142" s="21"/>
    </row>
    <row r="143" spans="1:17" ht="9" customHeight="1">
      <c r="A143" s="8"/>
      <c r="B143" s="27"/>
      <c r="C143" s="27"/>
      <c r="D143" s="27"/>
      <c r="E143" s="28"/>
      <c r="F143" s="28"/>
      <c r="G143" s="7"/>
      <c r="H143" s="40"/>
      <c r="I143" s="8"/>
      <c r="J143" s="8"/>
      <c r="K143" s="7"/>
      <c r="L143" s="1602"/>
      <c r="M143" s="7"/>
      <c r="N143" s="7"/>
      <c r="O143" s="7"/>
      <c r="P143" s="21"/>
      <c r="Q143" s="21"/>
    </row>
    <row r="144" spans="1:17" ht="9" customHeight="1">
      <c r="A144" s="27"/>
      <c r="B144" s="27"/>
      <c r="C144" s="27"/>
      <c r="D144" s="27"/>
      <c r="E144" s="28"/>
      <c r="F144" s="28"/>
      <c r="G144" s="7"/>
      <c r="H144" s="19"/>
      <c r="I144" s="23"/>
      <c r="J144" s="23"/>
      <c r="K144" s="23"/>
      <c r="L144" s="23"/>
      <c r="M144" s="7"/>
      <c r="N144" s="7"/>
      <c r="O144" s="7"/>
      <c r="P144" s="21"/>
      <c r="Q144" s="21"/>
    </row>
    <row r="145" spans="1:17" ht="9" customHeight="1">
      <c r="A145" s="27"/>
      <c r="B145" s="27"/>
      <c r="C145" s="27"/>
      <c r="D145" s="27"/>
      <c r="E145" s="28"/>
      <c r="F145" s="28"/>
      <c r="G145" s="7"/>
      <c r="H145" s="27"/>
      <c r="I145" s="12"/>
      <c r="J145" s="12"/>
      <c r="K145" s="41"/>
      <c r="L145" s="19"/>
      <c r="M145" s="7"/>
      <c r="N145" s="7"/>
      <c r="O145" s="7"/>
      <c r="P145" s="21"/>
      <c r="Q145" s="21"/>
    </row>
    <row r="146" spans="1:17" ht="9" customHeight="1">
      <c r="A146" s="12"/>
      <c r="B146" s="27"/>
      <c r="C146" s="27"/>
      <c r="D146" s="27"/>
      <c r="E146" s="28"/>
      <c r="F146" s="28"/>
      <c r="G146" s="7"/>
      <c r="H146" s="27"/>
      <c r="I146" s="27"/>
      <c r="J146" s="23"/>
      <c r="K146" s="27"/>
      <c r="L146" s="28"/>
      <c r="M146" s="7"/>
      <c r="N146" s="7"/>
      <c r="O146" s="7"/>
      <c r="P146" s="21"/>
      <c r="Q146" s="21"/>
    </row>
    <row r="147" spans="1:17" ht="9" customHeight="1">
      <c r="A147" s="27"/>
      <c r="B147" s="27"/>
      <c r="C147" s="27"/>
      <c r="D147" s="27"/>
      <c r="E147" s="28"/>
      <c r="F147" s="28"/>
      <c r="G147" s="7"/>
      <c r="H147" s="27"/>
      <c r="I147" s="27"/>
      <c r="J147" s="23"/>
      <c r="K147" s="27"/>
      <c r="L147" s="28"/>
      <c r="M147" s="7"/>
      <c r="N147" s="7"/>
      <c r="O147" s="7"/>
      <c r="P147" s="21"/>
      <c r="Q147" s="21"/>
    </row>
    <row r="148" spans="1:17" ht="9" customHeight="1">
      <c r="A148" s="2358"/>
      <c r="B148" s="2358"/>
      <c r="C148" s="2358"/>
      <c r="D148" s="2358"/>
      <c r="E148" s="2358"/>
      <c r="F148" s="23"/>
      <c r="G148" s="7"/>
      <c r="H148" s="27"/>
      <c r="I148" s="27"/>
      <c r="J148" s="23"/>
      <c r="K148" s="27"/>
      <c r="L148" s="28"/>
      <c r="M148" s="7"/>
      <c r="N148" s="7"/>
      <c r="O148" s="7"/>
      <c r="P148" s="21"/>
      <c r="Q148" s="21"/>
    </row>
    <row r="149" spans="1:17" ht="9" customHeight="1">
      <c r="A149" s="12"/>
      <c r="B149" s="27"/>
      <c r="C149" s="27"/>
      <c r="D149" s="27"/>
      <c r="E149" s="28"/>
      <c r="F149" s="1601"/>
      <c r="G149" s="7"/>
      <c r="H149" s="7"/>
      <c r="I149" s="27"/>
      <c r="J149" s="23"/>
      <c r="K149" s="27"/>
      <c r="L149" s="28"/>
      <c r="M149" s="7"/>
      <c r="N149" s="7"/>
      <c r="O149" s="7"/>
      <c r="P149" s="21"/>
      <c r="Q149" s="21"/>
    </row>
    <row r="150" spans="1:17" ht="9" customHeight="1">
      <c r="A150" s="27"/>
      <c r="B150" s="27"/>
      <c r="C150" s="27"/>
      <c r="D150" s="27"/>
      <c r="E150" s="28"/>
      <c r="F150" s="28"/>
      <c r="G150" s="7"/>
      <c r="H150" s="2280"/>
      <c r="I150" s="2280"/>
      <c r="J150" s="2280"/>
      <c r="K150" s="2280"/>
      <c r="L150" s="2280"/>
      <c r="M150" s="7"/>
      <c r="N150" s="7"/>
      <c r="O150" s="7"/>
      <c r="P150" s="21"/>
      <c r="Q150" s="21"/>
    </row>
    <row r="151" spans="1:17" ht="9" customHeight="1">
      <c r="A151" s="27"/>
      <c r="B151" s="27"/>
      <c r="C151" s="7"/>
      <c r="D151" s="27"/>
      <c r="E151" s="7"/>
      <c r="F151" s="28"/>
      <c r="G151" s="7"/>
      <c r="H151" s="2280"/>
      <c r="I151" s="2280"/>
      <c r="J151" s="2280"/>
      <c r="K151" s="2280"/>
      <c r="L151" s="2280"/>
      <c r="M151" s="7"/>
      <c r="N151" s="7"/>
      <c r="O151" s="7"/>
      <c r="P151" s="21"/>
      <c r="Q151" s="21"/>
    </row>
    <row r="152" spans="1:17" ht="9" customHeight="1">
      <c r="A152" s="27"/>
      <c r="B152" s="27"/>
      <c r="C152" s="7"/>
      <c r="D152" s="27"/>
      <c r="E152" s="7"/>
      <c r="F152" s="28"/>
      <c r="G152" s="7"/>
      <c r="H152" s="7"/>
      <c r="I152" s="8"/>
      <c r="J152" s="8"/>
      <c r="K152" s="8"/>
      <c r="L152" s="8"/>
      <c r="M152" s="7"/>
      <c r="N152" s="7"/>
      <c r="O152" s="7"/>
      <c r="P152" s="21"/>
      <c r="Q152" s="21"/>
    </row>
    <row r="153" spans="1:17" ht="9" customHeight="1">
      <c r="A153" s="27"/>
      <c r="B153" s="27"/>
      <c r="C153" s="7"/>
      <c r="D153" s="27"/>
      <c r="E153" s="7"/>
      <c r="F153" s="28"/>
      <c r="G153" s="7"/>
      <c r="H153" s="7"/>
      <c r="I153" s="8"/>
      <c r="J153" s="8"/>
      <c r="K153" s="8"/>
      <c r="L153" s="8"/>
      <c r="M153" s="7"/>
      <c r="N153" s="7"/>
      <c r="O153" s="7"/>
      <c r="P153" s="21"/>
      <c r="Q153" s="21"/>
    </row>
    <row r="154" spans="1:17" ht="9" customHeight="1">
      <c r="A154" s="7"/>
      <c r="B154" s="27"/>
      <c r="C154" s="7"/>
      <c r="D154" s="27"/>
      <c r="E154" s="7"/>
      <c r="F154" s="28"/>
      <c r="G154" s="7"/>
      <c r="H154" s="7"/>
      <c r="I154" s="8"/>
      <c r="J154" s="8"/>
      <c r="K154" s="8"/>
      <c r="L154" s="8"/>
      <c r="M154" s="7"/>
      <c r="N154" s="7"/>
      <c r="O154" s="7"/>
      <c r="P154" s="21"/>
      <c r="Q154" s="21"/>
    </row>
    <row r="155" spans="1:17" ht="9" customHeight="1">
      <c r="A155" s="12"/>
      <c r="B155" s="27"/>
      <c r="C155" s="7"/>
      <c r="D155" s="27"/>
      <c r="E155" s="7"/>
      <c r="F155" s="1601"/>
      <c r="G155" s="7"/>
      <c r="H155" s="7"/>
      <c r="I155" s="8"/>
      <c r="J155" s="8"/>
      <c r="K155" s="11"/>
      <c r="L155" s="11"/>
      <c r="M155" s="7"/>
      <c r="N155" s="7"/>
      <c r="O155" s="7"/>
      <c r="P155" s="21"/>
      <c r="Q155" s="21"/>
    </row>
    <row r="156" spans="1:17" ht="9" customHeight="1">
      <c r="A156" s="12"/>
      <c r="B156" s="27"/>
      <c r="C156" s="7"/>
      <c r="D156" s="27"/>
      <c r="E156" s="7"/>
      <c r="F156" s="28"/>
      <c r="G156" s="7"/>
      <c r="H156" s="7"/>
      <c r="I156" s="8"/>
      <c r="J156" s="8"/>
      <c r="K156" s="11"/>
      <c r="L156" s="11"/>
      <c r="M156" s="7"/>
      <c r="N156" s="7"/>
      <c r="O156" s="7"/>
      <c r="P156" s="21"/>
      <c r="Q156" s="21"/>
    </row>
    <row r="157" spans="1:17" ht="9" customHeight="1">
      <c r="A157" s="7"/>
      <c r="B157" s="27"/>
      <c r="C157" s="7"/>
      <c r="D157" s="27"/>
      <c r="E157" s="7"/>
      <c r="F157" s="23"/>
      <c r="G157" s="7"/>
      <c r="H157" s="7"/>
      <c r="I157" s="8"/>
      <c r="J157" s="8"/>
      <c r="K157" s="8"/>
      <c r="L157" s="8"/>
      <c r="M157" s="7"/>
      <c r="N157" s="7"/>
      <c r="O157" s="7"/>
      <c r="P157" s="21"/>
      <c r="Q157" s="21"/>
    </row>
    <row r="158" spans="1:17" ht="9" customHeight="1">
      <c r="A158" s="10"/>
      <c r="B158" s="27"/>
      <c r="C158" s="7"/>
      <c r="D158" s="27"/>
      <c r="E158" s="7"/>
      <c r="F158" s="1601"/>
      <c r="G158" s="7"/>
      <c r="H158" s="2371"/>
      <c r="I158" s="2371"/>
      <c r="J158" s="2371"/>
      <c r="K158" s="2371"/>
      <c r="L158" s="2371"/>
      <c r="M158" s="10"/>
      <c r="N158" s="10"/>
      <c r="O158" s="7"/>
      <c r="P158" s="21"/>
      <c r="Q158" s="21"/>
    </row>
    <row r="159" spans="1:17" ht="9" customHeight="1">
      <c r="A159" s="8"/>
      <c r="B159" s="27"/>
      <c r="C159" s="7"/>
      <c r="D159" s="27"/>
      <c r="E159" s="7"/>
      <c r="F159" s="28"/>
      <c r="G159" s="7"/>
      <c r="H159" s="42"/>
      <c r="I159" s="27"/>
      <c r="J159" s="27"/>
      <c r="K159" s="27"/>
      <c r="L159" s="18"/>
      <c r="M159" s="7"/>
      <c r="N159" s="7"/>
      <c r="O159" s="7"/>
      <c r="P159" s="21"/>
      <c r="Q159" s="21"/>
    </row>
    <row r="160" spans="1:17" ht="9" customHeight="1">
      <c r="A160" s="8"/>
      <c r="B160" s="27"/>
      <c r="C160" s="7"/>
      <c r="D160" s="27"/>
      <c r="E160" s="7"/>
      <c r="F160" s="28"/>
      <c r="G160" s="7"/>
      <c r="H160" s="2381"/>
      <c r="I160" s="2381"/>
      <c r="J160" s="2381"/>
      <c r="K160" s="2381"/>
      <c r="L160" s="2381"/>
      <c r="M160" s="7"/>
      <c r="N160" s="7"/>
      <c r="O160" s="7"/>
      <c r="P160" s="21"/>
      <c r="Q160" s="21"/>
    </row>
    <row r="161" spans="1:17" ht="9" customHeight="1">
      <c r="A161" s="43"/>
      <c r="B161" s="27"/>
      <c r="C161" s="7"/>
      <c r="D161" s="27"/>
      <c r="E161" s="7"/>
      <c r="F161" s="28"/>
      <c r="G161" s="7"/>
      <c r="H161" s="2381"/>
      <c r="I161" s="2381"/>
      <c r="J161" s="2381"/>
      <c r="K161" s="2381"/>
      <c r="L161" s="2381"/>
      <c r="M161" s="7"/>
      <c r="N161" s="7"/>
      <c r="O161" s="7"/>
      <c r="P161" s="21"/>
      <c r="Q161" s="21"/>
    </row>
    <row r="162" spans="1:17" ht="9" customHeight="1">
      <c r="A162" s="27"/>
      <c r="B162" s="40"/>
      <c r="C162" s="7"/>
      <c r="D162" s="40"/>
      <c r="E162" s="7"/>
      <c r="F162" s="28"/>
      <c r="G162" s="7"/>
      <c r="H162" s="2381"/>
      <c r="I162" s="2381"/>
      <c r="J162" s="2381"/>
      <c r="K162" s="2381"/>
      <c r="L162" s="2381"/>
      <c r="M162" s="7"/>
      <c r="N162" s="7"/>
      <c r="O162" s="7"/>
      <c r="P162" s="21"/>
      <c r="Q162" s="21"/>
    </row>
    <row r="163" spans="1:17" ht="9" customHeight="1">
      <c r="A163" s="9"/>
      <c r="B163" s="9"/>
      <c r="C163" s="9"/>
      <c r="D163" s="9"/>
      <c r="E163" s="9"/>
      <c r="F163" s="19"/>
      <c r="G163" s="12"/>
      <c r="H163" s="44"/>
      <c r="I163" s="45"/>
      <c r="J163" s="45"/>
      <c r="K163" s="45"/>
      <c r="L163" s="23"/>
      <c r="M163" s="7"/>
      <c r="N163" s="7"/>
      <c r="O163" s="7"/>
      <c r="P163" s="21"/>
      <c r="Q163" s="21"/>
    </row>
    <row r="164" spans="1:17" ht="9" customHeight="1">
      <c r="A164" s="9"/>
      <c r="B164" s="9"/>
      <c r="C164" s="9"/>
      <c r="D164" s="9"/>
      <c r="E164" s="9"/>
      <c r="F164" s="20"/>
      <c r="G164" s="8"/>
      <c r="H164" s="46"/>
      <c r="I164" s="23"/>
      <c r="J164" s="45"/>
      <c r="K164" s="45"/>
      <c r="L164" s="45"/>
      <c r="M164" s="47"/>
      <c r="N164" s="27"/>
      <c r="O164" s="7"/>
      <c r="P164" s="21"/>
      <c r="Q164" s="21"/>
    </row>
    <row r="165" spans="1:17" ht="9" customHeight="1">
      <c r="A165" s="2"/>
      <c r="B165" s="2"/>
      <c r="C165" s="2"/>
      <c r="D165" s="2"/>
      <c r="E165" s="4"/>
      <c r="F165" s="2"/>
      <c r="G165" s="2"/>
      <c r="H165" s="2"/>
      <c r="I165" s="2"/>
      <c r="J165" s="2"/>
      <c r="K165" s="2"/>
      <c r="L165" s="4"/>
      <c r="M165" s="2"/>
      <c r="N165" s="2"/>
      <c r="O165" s="2"/>
      <c r="P165" s="2"/>
      <c r="Q165" s="2"/>
    </row>
    <row r="166" spans="1:17" ht="9" customHeight="1">
      <c r="A166" s="2"/>
      <c r="B166" s="2"/>
      <c r="C166" s="2"/>
      <c r="D166" s="2"/>
      <c r="E166" s="4"/>
      <c r="F166" s="2"/>
      <c r="G166" s="2"/>
      <c r="H166" s="2"/>
      <c r="I166" s="2"/>
      <c r="J166" s="2"/>
      <c r="K166" s="2"/>
      <c r="L166" s="4"/>
      <c r="M166" s="2"/>
      <c r="N166" s="2"/>
      <c r="O166" s="2"/>
      <c r="P166" s="2"/>
      <c r="Q166" s="2"/>
    </row>
    <row r="167" spans="1:17" ht="9" customHeight="1">
      <c r="A167" s="2"/>
      <c r="B167" s="2"/>
      <c r="C167" s="2"/>
      <c r="D167" s="2"/>
      <c r="E167" s="4"/>
      <c r="F167" s="2"/>
      <c r="G167" s="2"/>
      <c r="H167" s="2"/>
      <c r="I167" s="2"/>
      <c r="J167" s="2"/>
      <c r="K167" s="2"/>
      <c r="L167" s="4"/>
      <c r="M167" s="2"/>
      <c r="N167" s="2"/>
      <c r="O167" s="2"/>
      <c r="P167" s="2"/>
      <c r="Q167" s="2"/>
    </row>
    <row r="168" spans="1:17" ht="9" customHeight="1">
      <c r="A168" s="2"/>
      <c r="B168" s="2"/>
      <c r="C168" s="2"/>
      <c r="D168" s="2"/>
      <c r="E168" s="4"/>
      <c r="F168" s="2"/>
      <c r="G168" s="2"/>
      <c r="H168" s="2"/>
      <c r="I168" s="2"/>
      <c r="J168" s="2"/>
      <c r="K168" s="2"/>
      <c r="L168" s="4"/>
      <c r="M168" s="2"/>
      <c r="N168" s="2"/>
      <c r="O168" s="2"/>
      <c r="P168" s="2"/>
      <c r="Q168" s="2"/>
    </row>
    <row r="169" spans="1:17" ht="9" customHeight="1">
      <c r="A169" s="2"/>
      <c r="B169" s="2"/>
      <c r="C169" s="2"/>
      <c r="D169" s="2"/>
      <c r="E169" s="4"/>
      <c r="F169" s="2"/>
      <c r="G169" s="2"/>
      <c r="H169" s="2"/>
      <c r="I169" s="2"/>
      <c r="J169" s="2"/>
      <c r="K169" s="2"/>
      <c r="L169" s="4"/>
      <c r="M169" s="2"/>
      <c r="N169" s="2"/>
      <c r="O169" s="2"/>
      <c r="P169" s="2"/>
      <c r="Q169" s="2"/>
    </row>
    <row r="170" spans="1:17" ht="9" customHeight="1">
      <c r="A170" s="2"/>
      <c r="B170" s="2"/>
      <c r="C170" s="2"/>
      <c r="D170" s="2"/>
      <c r="E170" s="4"/>
      <c r="F170" s="2"/>
      <c r="G170" s="2"/>
      <c r="H170" s="2"/>
      <c r="I170" s="2"/>
      <c r="J170" s="2"/>
      <c r="K170" s="2"/>
      <c r="L170" s="4"/>
      <c r="M170" s="2"/>
      <c r="N170" s="2"/>
      <c r="O170" s="2"/>
      <c r="P170" s="2"/>
      <c r="Q170" s="2"/>
    </row>
    <row r="171" spans="1:17" ht="9" customHeight="1">
      <c r="A171" s="2"/>
      <c r="B171" s="2"/>
      <c r="C171" s="2"/>
      <c r="D171" s="2"/>
      <c r="E171" s="4"/>
      <c r="F171" s="2"/>
      <c r="G171" s="2"/>
      <c r="H171" s="2"/>
      <c r="I171" s="2"/>
      <c r="J171" s="2"/>
      <c r="K171" s="2"/>
      <c r="L171" s="4"/>
      <c r="M171" s="2"/>
      <c r="N171" s="2"/>
      <c r="O171" s="2"/>
      <c r="P171" s="2"/>
      <c r="Q171" s="2"/>
    </row>
    <row r="172" spans="1:17" ht="9" customHeight="1">
      <c r="A172" s="2"/>
      <c r="B172" s="2"/>
      <c r="C172" s="2"/>
      <c r="D172" s="2"/>
      <c r="E172" s="4"/>
      <c r="F172" s="2"/>
      <c r="G172" s="2"/>
      <c r="H172" s="2"/>
      <c r="I172" s="2"/>
      <c r="J172" s="2"/>
      <c r="K172" s="2"/>
      <c r="L172" s="4"/>
      <c r="M172" s="2"/>
      <c r="N172" s="2"/>
      <c r="O172" s="2"/>
      <c r="P172" s="2"/>
      <c r="Q172" s="2"/>
    </row>
    <row r="173" spans="1:17" ht="9" customHeight="1">
      <c r="A173" s="2"/>
      <c r="B173" s="2"/>
      <c r="C173" s="2"/>
      <c r="D173" s="2"/>
      <c r="E173" s="4"/>
      <c r="F173" s="2"/>
      <c r="G173" s="2"/>
      <c r="H173" s="2"/>
      <c r="I173" s="2"/>
      <c r="J173" s="2"/>
      <c r="K173" s="2"/>
      <c r="L173" s="4"/>
      <c r="M173" s="2"/>
      <c r="N173" s="2"/>
      <c r="O173" s="2"/>
      <c r="P173" s="2"/>
      <c r="Q173" s="2"/>
    </row>
    <row r="174" spans="1:17" ht="9" customHeight="1">
      <c r="A174" s="2"/>
      <c r="B174" s="2"/>
      <c r="C174" s="2"/>
      <c r="D174" s="2"/>
      <c r="E174" s="4"/>
      <c r="F174" s="2"/>
      <c r="G174" s="2"/>
      <c r="H174" s="2"/>
      <c r="I174" s="2"/>
      <c r="J174" s="2"/>
      <c r="K174" s="2"/>
      <c r="L174" s="4"/>
      <c r="M174" s="2"/>
      <c r="N174" s="2"/>
      <c r="O174" s="2"/>
      <c r="P174" s="2"/>
      <c r="Q174" s="2"/>
    </row>
    <row r="175" spans="1:17" ht="9" customHeight="1">
      <c r="A175" s="2"/>
      <c r="B175" s="2"/>
      <c r="C175" s="2"/>
      <c r="D175" s="2"/>
      <c r="E175" s="4"/>
      <c r="F175" s="2"/>
      <c r="G175" s="2"/>
      <c r="H175" s="2"/>
      <c r="I175" s="2"/>
      <c r="J175" s="2"/>
      <c r="K175" s="2"/>
      <c r="L175" s="4"/>
      <c r="M175" s="2"/>
      <c r="N175" s="2"/>
      <c r="O175" s="2"/>
      <c r="P175" s="2"/>
      <c r="Q175" s="2"/>
    </row>
    <row r="176" spans="1:17" ht="9" customHeight="1">
      <c r="A176" s="2"/>
      <c r="B176" s="2"/>
      <c r="C176" s="2"/>
      <c r="D176" s="2"/>
      <c r="E176" s="4"/>
      <c r="F176" s="2"/>
      <c r="G176" s="2"/>
      <c r="H176" s="2"/>
      <c r="I176" s="2"/>
      <c r="J176" s="2"/>
      <c r="K176" s="2"/>
      <c r="L176" s="4"/>
      <c r="M176" s="2"/>
      <c r="N176" s="2"/>
      <c r="O176" s="2"/>
      <c r="P176" s="2"/>
      <c r="Q176" s="2"/>
    </row>
    <row r="177" spans="1:17" ht="9" customHeight="1">
      <c r="A177" s="2"/>
      <c r="B177" s="2"/>
      <c r="C177" s="2"/>
      <c r="D177" s="2"/>
      <c r="E177" s="4"/>
      <c r="F177" s="2"/>
      <c r="G177" s="2"/>
      <c r="H177" s="2"/>
      <c r="I177" s="2"/>
      <c r="J177" s="2"/>
      <c r="K177" s="2"/>
      <c r="L177" s="4"/>
      <c r="M177" s="2"/>
      <c r="N177" s="2"/>
      <c r="O177" s="2"/>
      <c r="P177" s="2"/>
      <c r="Q177" s="2"/>
    </row>
    <row r="178" spans="1:17" ht="9" customHeight="1">
      <c r="A178" s="2"/>
      <c r="B178" s="2"/>
      <c r="C178" s="2"/>
      <c r="D178" s="2"/>
      <c r="E178" s="4"/>
      <c r="F178" s="2"/>
      <c r="G178" s="2"/>
      <c r="H178" s="2"/>
      <c r="I178" s="2"/>
      <c r="J178" s="2"/>
      <c r="K178" s="2"/>
      <c r="L178" s="4"/>
      <c r="M178" s="2"/>
      <c r="N178" s="2"/>
      <c r="O178" s="2"/>
      <c r="P178" s="2"/>
      <c r="Q178" s="2"/>
    </row>
    <row r="179" spans="1:17" ht="9" customHeight="1">
      <c r="A179" s="2"/>
      <c r="B179" s="2"/>
      <c r="C179" s="2"/>
      <c r="D179" s="2"/>
      <c r="E179" s="4"/>
      <c r="F179" s="2"/>
      <c r="G179" s="2"/>
      <c r="H179" s="2"/>
      <c r="I179" s="2"/>
      <c r="J179" s="2"/>
      <c r="K179" s="2"/>
      <c r="L179" s="4"/>
      <c r="M179" s="2"/>
      <c r="N179" s="2"/>
      <c r="O179" s="2"/>
      <c r="P179" s="2"/>
      <c r="Q179" s="2"/>
    </row>
    <row r="180" spans="1:17" ht="9" customHeight="1">
      <c r="A180" s="2"/>
      <c r="B180" s="2"/>
      <c r="C180" s="2"/>
      <c r="D180" s="2"/>
      <c r="E180" s="4"/>
      <c r="F180" s="2"/>
      <c r="G180" s="2"/>
      <c r="H180" s="2"/>
      <c r="I180" s="2"/>
      <c r="J180" s="2"/>
      <c r="K180" s="2"/>
      <c r="L180" s="4"/>
      <c r="M180" s="2"/>
      <c r="N180" s="2"/>
      <c r="O180" s="2"/>
      <c r="P180" s="2"/>
      <c r="Q180" s="2"/>
    </row>
    <row r="181" spans="1:17" ht="9" customHeight="1">
      <c r="A181" s="2"/>
      <c r="B181" s="2"/>
      <c r="C181" s="2"/>
      <c r="D181" s="2"/>
      <c r="E181" s="4"/>
      <c r="F181" s="2"/>
      <c r="G181" s="2"/>
      <c r="H181" s="2"/>
      <c r="I181" s="2"/>
      <c r="J181" s="2"/>
      <c r="K181" s="2"/>
      <c r="L181" s="4"/>
      <c r="M181" s="2"/>
      <c r="N181" s="2"/>
      <c r="O181" s="2"/>
      <c r="P181" s="2"/>
      <c r="Q181" s="2"/>
    </row>
    <row r="182" spans="1:17" ht="9" customHeight="1">
      <c r="A182" s="2"/>
      <c r="B182" s="2"/>
      <c r="C182" s="2"/>
      <c r="D182" s="2"/>
      <c r="E182" s="4"/>
      <c r="F182" s="2"/>
      <c r="G182" s="2"/>
      <c r="H182" s="2"/>
      <c r="I182" s="2"/>
      <c r="J182" s="2"/>
      <c r="K182" s="2"/>
      <c r="L182" s="4"/>
      <c r="M182" s="2"/>
      <c r="N182" s="2"/>
      <c r="O182" s="2"/>
      <c r="P182" s="2"/>
      <c r="Q182" s="2"/>
    </row>
    <row r="183" spans="1:17" ht="9" customHeight="1">
      <c r="A183" s="2"/>
      <c r="B183" s="2"/>
      <c r="C183" s="2"/>
      <c r="D183" s="2"/>
      <c r="E183" s="4"/>
      <c r="F183" s="2"/>
      <c r="G183" s="2"/>
      <c r="H183" s="2"/>
      <c r="I183" s="2"/>
      <c r="J183" s="2"/>
      <c r="K183" s="2"/>
      <c r="L183" s="4"/>
      <c r="M183" s="2"/>
      <c r="N183" s="2"/>
      <c r="O183" s="2"/>
      <c r="P183" s="2"/>
      <c r="Q183" s="2"/>
    </row>
    <row r="184" spans="1:17" ht="9" customHeight="1">
      <c r="A184" s="2"/>
      <c r="B184" s="2"/>
      <c r="C184" s="2"/>
      <c r="D184" s="2"/>
      <c r="E184" s="4"/>
      <c r="F184" s="2"/>
      <c r="G184" s="2"/>
      <c r="H184" s="2"/>
      <c r="I184" s="2"/>
      <c r="J184" s="2"/>
      <c r="K184" s="2"/>
      <c r="L184" s="4"/>
      <c r="M184" s="2"/>
      <c r="N184" s="2"/>
      <c r="O184" s="2"/>
      <c r="P184" s="2"/>
      <c r="Q184" s="2"/>
    </row>
    <row r="185" spans="1:17" ht="9" customHeight="1">
      <c r="A185" s="2"/>
      <c r="B185" s="2"/>
      <c r="C185" s="2"/>
      <c r="D185" s="2"/>
      <c r="E185" s="4"/>
      <c r="F185" s="2"/>
      <c r="G185" s="2"/>
      <c r="H185" s="2"/>
      <c r="I185" s="2"/>
      <c r="J185" s="2"/>
      <c r="K185" s="2"/>
      <c r="L185" s="4"/>
      <c r="M185" s="2"/>
      <c r="N185" s="2"/>
      <c r="O185" s="2"/>
      <c r="P185" s="2"/>
      <c r="Q185" s="2"/>
    </row>
    <row r="186" spans="1:17" ht="9" customHeight="1">
      <c r="A186" s="2"/>
      <c r="B186" s="2"/>
      <c r="C186" s="2"/>
      <c r="D186" s="2"/>
      <c r="E186" s="4"/>
      <c r="F186" s="2"/>
      <c r="G186" s="2"/>
      <c r="H186" s="2"/>
      <c r="I186" s="2"/>
      <c r="J186" s="2"/>
      <c r="K186" s="2"/>
      <c r="L186" s="4"/>
      <c r="M186" s="2"/>
      <c r="N186" s="2"/>
      <c r="O186" s="2"/>
      <c r="P186" s="2"/>
      <c r="Q186" s="2"/>
    </row>
    <row r="187" spans="1:17" ht="9" customHeight="1">
      <c r="A187" s="2"/>
      <c r="B187" s="2"/>
      <c r="C187" s="2"/>
      <c r="D187" s="2"/>
      <c r="E187" s="4"/>
      <c r="F187" s="2"/>
      <c r="G187" s="2"/>
      <c r="H187" s="2"/>
      <c r="I187" s="2"/>
      <c r="J187" s="2"/>
      <c r="K187" s="2"/>
      <c r="L187" s="4"/>
      <c r="M187" s="2"/>
      <c r="N187" s="2"/>
      <c r="O187" s="2"/>
      <c r="P187" s="2"/>
      <c r="Q187" s="2"/>
    </row>
    <row r="188" spans="1:17" ht="9" customHeight="1">
      <c r="A188" s="2"/>
      <c r="B188" s="2"/>
      <c r="C188" s="2"/>
      <c r="D188" s="2"/>
      <c r="E188" s="4"/>
      <c r="F188" s="2"/>
      <c r="G188" s="2"/>
      <c r="H188" s="2"/>
      <c r="I188" s="2"/>
      <c r="J188" s="2"/>
      <c r="K188" s="2"/>
      <c r="L188" s="4"/>
      <c r="M188" s="2"/>
      <c r="N188" s="2"/>
      <c r="O188" s="2"/>
      <c r="P188" s="2"/>
      <c r="Q188" s="2"/>
    </row>
    <row r="189" spans="1:17" ht="9" customHeight="1">
      <c r="A189" s="2"/>
      <c r="B189" s="2"/>
      <c r="C189" s="2"/>
      <c r="D189" s="2"/>
      <c r="E189" s="4"/>
      <c r="F189" s="2"/>
      <c r="G189" s="2"/>
      <c r="H189" s="2"/>
      <c r="I189" s="2"/>
      <c r="J189" s="2"/>
      <c r="K189" s="2"/>
      <c r="L189" s="4"/>
      <c r="M189" s="2"/>
      <c r="N189" s="2"/>
      <c r="O189" s="2"/>
      <c r="P189" s="2"/>
      <c r="Q189" s="2"/>
    </row>
    <row r="190" spans="1:17" ht="9" customHeight="1">
      <c r="A190" s="2"/>
      <c r="B190" s="2"/>
      <c r="C190" s="2"/>
      <c r="D190" s="2"/>
      <c r="E190" s="4"/>
      <c r="F190" s="2"/>
      <c r="G190" s="2"/>
      <c r="H190" s="2"/>
      <c r="I190" s="2"/>
      <c r="J190" s="2"/>
      <c r="K190" s="2"/>
      <c r="L190" s="4"/>
      <c r="M190" s="2"/>
      <c r="N190" s="2"/>
      <c r="O190" s="2"/>
      <c r="P190" s="2"/>
      <c r="Q190" s="2"/>
    </row>
    <row r="191" spans="1:17" ht="9" customHeight="1">
      <c r="A191" s="2"/>
      <c r="B191" s="2"/>
      <c r="C191" s="2"/>
      <c r="D191" s="2"/>
      <c r="E191" s="4"/>
      <c r="F191" s="2"/>
      <c r="G191" s="2"/>
      <c r="H191" s="2"/>
      <c r="I191" s="2"/>
      <c r="J191" s="2"/>
      <c r="K191" s="2"/>
      <c r="L191" s="4"/>
      <c r="M191" s="2"/>
      <c r="N191" s="2"/>
      <c r="O191" s="2"/>
      <c r="P191" s="2"/>
      <c r="Q191" s="2"/>
    </row>
    <row r="192" spans="1:17" ht="9" customHeight="1">
      <c r="A192" s="2"/>
      <c r="B192" s="2"/>
      <c r="C192" s="2"/>
      <c r="D192" s="2"/>
      <c r="E192" s="4"/>
      <c r="F192" s="2"/>
      <c r="G192" s="2"/>
      <c r="H192" s="2"/>
      <c r="I192" s="2"/>
      <c r="J192" s="2"/>
      <c r="K192" s="2"/>
      <c r="L192" s="4"/>
      <c r="M192" s="2"/>
      <c r="N192" s="2"/>
      <c r="O192" s="2"/>
      <c r="P192" s="2"/>
      <c r="Q192" s="2"/>
    </row>
    <row r="193" spans="1:17" ht="9" customHeight="1">
      <c r="A193" s="2"/>
      <c r="B193" s="2"/>
      <c r="C193" s="2"/>
      <c r="D193" s="2"/>
      <c r="E193" s="4"/>
      <c r="F193" s="2"/>
      <c r="G193" s="2"/>
      <c r="H193" s="2"/>
      <c r="I193" s="2"/>
      <c r="J193" s="2"/>
      <c r="K193" s="2"/>
      <c r="L193" s="4"/>
      <c r="M193" s="2"/>
      <c r="N193" s="2"/>
      <c r="O193" s="2"/>
      <c r="P193" s="2"/>
      <c r="Q193" s="2"/>
    </row>
    <row r="194" spans="1:17" ht="9" customHeight="1">
      <c r="A194" s="2"/>
      <c r="B194" s="2"/>
      <c r="C194" s="2"/>
      <c r="D194" s="2"/>
      <c r="E194" s="4"/>
      <c r="F194" s="2"/>
      <c r="G194" s="2"/>
      <c r="H194" s="2"/>
      <c r="I194" s="2"/>
      <c r="J194" s="2"/>
      <c r="K194" s="2"/>
      <c r="L194" s="4"/>
      <c r="M194" s="2"/>
      <c r="N194" s="2"/>
      <c r="O194" s="2"/>
      <c r="P194" s="2"/>
      <c r="Q194" s="2"/>
    </row>
    <row r="195" spans="1:17" ht="9" customHeight="1">
      <c r="A195" s="2"/>
      <c r="B195" s="2"/>
      <c r="C195" s="2"/>
      <c r="D195" s="2"/>
      <c r="E195" s="4"/>
      <c r="F195" s="2"/>
      <c r="G195" s="2"/>
      <c r="H195" s="2"/>
      <c r="I195" s="2"/>
      <c r="J195" s="2"/>
      <c r="K195" s="2"/>
      <c r="L195" s="4"/>
      <c r="M195" s="2"/>
      <c r="N195" s="2"/>
      <c r="O195" s="2"/>
      <c r="P195" s="2"/>
      <c r="Q195" s="2"/>
    </row>
    <row r="196" spans="1:17" ht="9" customHeight="1">
      <c r="A196" s="2"/>
      <c r="B196" s="2"/>
      <c r="C196" s="2"/>
      <c r="D196" s="2"/>
      <c r="E196" s="4"/>
      <c r="F196" s="2"/>
      <c r="G196" s="2"/>
      <c r="H196" s="2"/>
      <c r="I196" s="2"/>
      <c r="J196" s="2"/>
      <c r="K196" s="2"/>
      <c r="L196" s="4"/>
      <c r="M196" s="2"/>
      <c r="N196" s="2"/>
      <c r="O196" s="2"/>
      <c r="P196" s="2"/>
      <c r="Q196" s="2"/>
    </row>
    <row r="197" spans="1:17" ht="9" customHeight="1">
      <c r="A197" s="2"/>
      <c r="B197" s="2"/>
      <c r="C197" s="2"/>
      <c r="D197" s="2"/>
      <c r="E197" s="4"/>
      <c r="F197" s="2"/>
      <c r="G197" s="2"/>
      <c r="H197" s="2"/>
      <c r="I197" s="2"/>
      <c r="J197" s="2"/>
      <c r="K197" s="2"/>
      <c r="L197" s="4"/>
      <c r="M197" s="2"/>
      <c r="N197" s="2"/>
      <c r="O197" s="2"/>
      <c r="P197" s="2"/>
      <c r="Q197" s="2"/>
    </row>
    <row r="198" spans="1:17" ht="9" customHeight="1">
      <c r="A198" s="2"/>
      <c r="B198" s="2"/>
      <c r="C198" s="2"/>
      <c r="D198" s="2"/>
      <c r="E198" s="4"/>
      <c r="F198" s="2"/>
      <c r="G198" s="2"/>
      <c r="H198" s="2"/>
      <c r="I198" s="2"/>
      <c r="J198" s="2"/>
      <c r="K198" s="2"/>
      <c r="L198" s="4"/>
      <c r="M198" s="2"/>
      <c r="N198" s="2"/>
      <c r="O198" s="2"/>
      <c r="P198" s="2"/>
      <c r="Q198" s="2"/>
    </row>
    <row r="199" spans="1:17" ht="9" customHeight="1">
      <c r="A199" s="2"/>
      <c r="B199" s="2"/>
      <c r="C199" s="2"/>
      <c r="D199" s="2"/>
      <c r="E199" s="4"/>
      <c r="F199" s="2"/>
      <c r="G199" s="2"/>
      <c r="H199" s="2"/>
      <c r="I199" s="2"/>
      <c r="J199" s="2"/>
      <c r="K199" s="2"/>
      <c r="L199" s="4"/>
      <c r="M199" s="2"/>
      <c r="N199" s="2"/>
      <c r="O199" s="2"/>
      <c r="P199" s="2"/>
      <c r="Q199" s="2"/>
    </row>
    <row r="200" spans="1:17" ht="9" customHeight="1">
      <c r="A200" s="2"/>
      <c r="B200" s="2"/>
      <c r="C200" s="2"/>
      <c r="D200" s="2"/>
      <c r="E200" s="4"/>
      <c r="F200" s="2"/>
      <c r="G200" s="2"/>
      <c r="H200" s="2"/>
      <c r="I200" s="2"/>
      <c r="J200" s="2"/>
      <c r="K200" s="2"/>
      <c r="L200" s="4"/>
      <c r="M200" s="2"/>
      <c r="N200" s="2"/>
      <c r="O200" s="2"/>
      <c r="P200" s="2"/>
      <c r="Q200" s="2"/>
    </row>
    <row r="201" spans="1:17" ht="9" customHeight="1">
      <c r="A201" s="2"/>
      <c r="B201" s="2"/>
      <c r="C201" s="2"/>
      <c r="D201" s="2"/>
      <c r="E201" s="4"/>
      <c r="F201" s="2"/>
      <c r="G201" s="2"/>
      <c r="H201" s="2"/>
      <c r="I201" s="2"/>
      <c r="J201" s="2"/>
      <c r="K201" s="2"/>
      <c r="L201" s="4"/>
      <c r="M201" s="2"/>
      <c r="N201" s="2"/>
      <c r="O201" s="2"/>
      <c r="P201" s="2"/>
      <c r="Q201" s="2"/>
    </row>
    <row r="202" spans="1:17" ht="9" customHeight="1">
      <c r="A202" s="2"/>
      <c r="B202" s="2"/>
      <c r="C202" s="2"/>
      <c r="D202" s="2"/>
      <c r="E202" s="4"/>
      <c r="F202" s="2"/>
      <c r="G202" s="2"/>
      <c r="H202" s="2"/>
      <c r="I202" s="2"/>
      <c r="J202" s="2"/>
      <c r="K202" s="2"/>
      <c r="L202" s="4"/>
      <c r="M202" s="2"/>
      <c r="N202" s="2"/>
      <c r="O202" s="2"/>
      <c r="P202" s="2"/>
      <c r="Q202" s="2"/>
    </row>
    <row r="203" spans="1:17" ht="9" customHeight="1">
      <c r="A203" s="2"/>
      <c r="B203" s="2"/>
      <c r="C203" s="2"/>
      <c r="D203" s="2"/>
      <c r="E203" s="4"/>
      <c r="F203" s="2"/>
      <c r="G203" s="2"/>
      <c r="H203" s="2"/>
      <c r="I203" s="2"/>
      <c r="J203" s="2"/>
      <c r="K203" s="2"/>
      <c r="L203" s="4"/>
      <c r="M203" s="2"/>
      <c r="N203" s="2"/>
      <c r="O203" s="2"/>
      <c r="P203" s="2"/>
      <c r="Q203" s="2"/>
    </row>
    <row r="204" spans="1:17" ht="9" customHeight="1">
      <c r="A204" s="2"/>
      <c r="B204" s="2"/>
      <c r="C204" s="2"/>
      <c r="D204" s="2"/>
      <c r="E204" s="4"/>
      <c r="F204" s="2"/>
      <c r="G204" s="2"/>
      <c r="H204" s="2"/>
      <c r="I204" s="2"/>
      <c r="J204" s="2"/>
      <c r="K204" s="2"/>
      <c r="L204" s="4"/>
      <c r="M204" s="2"/>
      <c r="N204" s="2"/>
      <c r="O204" s="2"/>
      <c r="P204" s="2"/>
      <c r="Q204" s="2"/>
    </row>
    <row r="205" spans="1:17" ht="9" customHeight="1">
      <c r="A205" s="2"/>
      <c r="B205" s="2"/>
      <c r="C205" s="2"/>
      <c r="D205" s="2"/>
      <c r="E205" s="4"/>
      <c r="F205" s="2"/>
      <c r="G205" s="2"/>
      <c r="H205" s="2"/>
      <c r="I205" s="2"/>
      <c r="J205" s="2"/>
      <c r="K205" s="2"/>
      <c r="L205" s="4"/>
      <c r="M205" s="2"/>
      <c r="N205" s="2"/>
      <c r="O205" s="2"/>
      <c r="P205" s="2"/>
      <c r="Q205" s="2"/>
    </row>
    <row r="206" spans="1:17" ht="9" customHeight="1">
      <c r="A206" s="2"/>
      <c r="B206" s="2"/>
      <c r="C206" s="2"/>
      <c r="D206" s="2"/>
      <c r="E206" s="4"/>
      <c r="F206" s="2"/>
      <c r="G206" s="2"/>
      <c r="H206" s="2"/>
      <c r="I206" s="2"/>
      <c r="J206" s="2"/>
      <c r="K206" s="2"/>
      <c r="L206" s="4"/>
      <c r="M206" s="2"/>
      <c r="N206" s="2"/>
      <c r="O206" s="2"/>
      <c r="P206" s="2"/>
      <c r="Q206" s="2"/>
    </row>
    <row r="207" spans="1:17" ht="9" customHeight="1">
      <c r="A207" s="2"/>
      <c r="B207" s="2"/>
      <c r="C207" s="2"/>
      <c r="D207" s="2"/>
      <c r="E207" s="4"/>
      <c r="F207" s="2"/>
      <c r="G207" s="2"/>
      <c r="H207" s="2"/>
      <c r="I207" s="2"/>
      <c r="J207" s="2"/>
      <c r="K207" s="2"/>
      <c r="L207" s="4"/>
      <c r="M207" s="2"/>
      <c r="N207" s="2"/>
      <c r="O207" s="2"/>
      <c r="P207" s="2"/>
      <c r="Q207" s="2"/>
    </row>
    <row r="208" spans="1:17" ht="9" customHeight="1">
      <c r="A208" s="2"/>
      <c r="B208" s="2"/>
      <c r="C208" s="2"/>
      <c r="D208" s="2"/>
      <c r="E208" s="4"/>
      <c r="F208" s="2"/>
      <c r="G208" s="2"/>
      <c r="H208" s="2"/>
      <c r="I208" s="2"/>
      <c r="J208" s="2"/>
      <c r="K208" s="2"/>
      <c r="L208" s="4"/>
      <c r="M208" s="2"/>
      <c r="N208" s="2"/>
      <c r="O208" s="2"/>
      <c r="P208" s="2"/>
      <c r="Q208" s="2"/>
    </row>
    <row r="209" spans="1:17" ht="9" customHeight="1">
      <c r="A209" s="2"/>
      <c r="B209" s="2"/>
      <c r="C209" s="2"/>
      <c r="D209" s="2"/>
      <c r="E209" s="4"/>
      <c r="F209" s="2"/>
      <c r="G209" s="2"/>
      <c r="H209" s="2"/>
      <c r="I209" s="2"/>
      <c r="J209" s="2"/>
      <c r="K209" s="2"/>
      <c r="L209" s="4"/>
      <c r="M209" s="2"/>
      <c r="N209" s="2"/>
      <c r="O209" s="2"/>
      <c r="P209" s="2"/>
      <c r="Q209" s="2"/>
    </row>
    <row r="210" spans="1:17" ht="9" customHeight="1">
      <c r="A210" s="2"/>
      <c r="B210" s="2"/>
      <c r="C210" s="2"/>
      <c r="D210" s="2"/>
      <c r="E210" s="4"/>
      <c r="F210" s="2"/>
      <c r="G210" s="2"/>
      <c r="H210" s="2"/>
      <c r="I210" s="2"/>
      <c r="J210" s="2"/>
      <c r="K210" s="2"/>
      <c r="L210" s="4"/>
      <c r="M210" s="2"/>
      <c r="N210" s="2"/>
      <c r="O210" s="2"/>
      <c r="P210" s="2"/>
      <c r="Q210" s="2"/>
    </row>
    <row r="211" spans="1:17" ht="9" customHeight="1">
      <c r="A211" s="2"/>
      <c r="B211" s="2"/>
      <c r="C211" s="2"/>
      <c r="D211" s="2"/>
      <c r="E211" s="4"/>
      <c r="F211" s="2"/>
      <c r="G211" s="2"/>
      <c r="H211" s="2"/>
      <c r="I211" s="2"/>
      <c r="J211" s="2"/>
      <c r="K211" s="2"/>
      <c r="L211" s="4"/>
      <c r="M211" s="2"/>
      <c r="N211" s="2"/>
      <c r="O211" s="2"/>
      <c r="P211" s="2"/>
      <c r="Q211" s="2"/>
    </row>
    <row r="212" spans="1:17" ht="9" customHeight="1">
      <c r="A212" s="2"/>
      <c r="B212" s="2"/>
      <c r="C212" s="2"/>
      <c r="D212" s="2"/>
      <c r="E212" s="4"/>
      <c r="F212" s="2"/>
      <c r="G212" s="2"/>
      <c r="H212" s="2"/>
      <c r="I212" s="2"/>
      <c r="J212" s="2"/>
      <c r="K212" s="2"/>
      <c r="L212" s="4"/>
      <c r="M212" s="2"/>
      <c r="N212" s="2"/>
      <c r="O212" s="2"/>
      <c r="P212" s="2"/>
      <c r="Q212" s="2"/>
    </row>
    <row r="213" spans="1:17" ht="9" customHeight="1">
      <c r="A213" s="2"/>
      <c r="B213" s="2"/>
      <c r="C213" s="2"/>
      <c r="D213" s="2"/>
      <c r="E213" s="4"/>
      <c r="F213" s="2"/>
      <c r="G213" s="2"/>
      <c r="H213" s="2"/>
      <c r="I213" s="2"/>
      <c r="J213" s="2"/>
      <c r="K213" s="2"/>
      <c r="L213" s="4"/>
      <c r="M213" s="2"/>
      <c r="N213" s="2"/>
      <c r="O213" s="2"/>
      <c r="P213" s="2"/>
      <c r="Q213" s="2"/>
    </row>
    <row r="214" spans="1:17" ht="9" customHeight="1">
      <c r="A214" s="2"/>
      <c r="B214" s="2"/>
      <c r="C214" s="2"/>
      <c r="D214" s="2"/>
      <c r="E214" s="4"/>
      <c r="F214" s="2"/>
      <c r="G214" s="2"/>
      <c r="H214" s="2"/>
      <c r="I214" s="2"/>
      <c r="J214" s="2"/>
      <c r="K214" s="2"/>
      <c r="L214" s="4"/>
      <c r="M214" s="2"/>
      <c r="N214" s="2"/>
      <c r="O214" s="2"/>
      <c r="P214" s="2"/>
      <c r="Q214" s="2"/>
    </row>
    <row r="215" spans="1:17" ht="9" customHeight="1">
      <c r="A215" s="2"/>
      <c r="B215" s="2"/>
      <c r="C215" s="2"/>
      <c r="D215" s="2"/>
      <c r="E215" s="4"/>
      <c r="F215" s="2"/>
      <c r="G215" s="2"/>
      <c r="H215" s="2"/>
      <c r="I215" s="2"/>
      <c r="J215" s="2"/>
      <c r="K215" s="2"/>
      <c r="L215" s="4"/>
      <c r="M215" s="2"/>
      <c r="N215" s="2"/>
      <c r="O215" s="2"/>
      <c r="P215" s="2"/>
      <c r="Q215" s="2"/>
    </row>
    <row r="216" spans="1:17" ht="9" customHeight="1">
      <c r="A216" s="2"/>
      <c r="B216" s="2"/>
      <c r="C216" s="2"/>
      <c r="D216" s="2"/>
      <c r="E216" s="4"/>
      <c r="F216" s="2"/>
      <c r="G216" s="2"/>
      <c r="H216" s="2"/>
      <c r="I216" s="2"/>
      <c r="J216" s="2"/>
      <c r="K216" s="2"/>
      <c r="L216" s="4"/>
      <c r="M216" s="2"/>
      <c r="N216" s="2"/>
      <c r="O216" s="2"/>
      <c r="P216" s="2"/>
      <c r="Q216" s="2"/>
    </row>
    <row r="217" spans="1:17" ht="9" customHeight="1">
      <c r="A217" s="2"/>
      <c r="B217" s="2"/>
      <c r="C217" s="2"/>
      <c r="D217" s="2"/>
      <c r="E217" s="4"/>
      <c r="F217" s="2"/>
      <c r="G217" s="2"/>
      <c r="H217" s="2"/>
      <c r="I217" s="2"/>
      <c r="J217" s="2"/>
      <c r="K217" s="2"/>
      <c r="L217" s="4"/>
      <c r="M217" s="2"/>
      <c r="N217" s="2"/>
      <c r="O217" s="2"/>
      <c r="P217" s="2"/>
      <c r="Q217" s="2"/>
    </row>
    <row r="218" spans="1:17" ht="9" customHeight="1">
      <c r="A218" s="2"/>
      <c r="B218" s="2"/>
      <c r="C218" s="2"/>
      <c r="D218" s="2"/>
      <c r="E218" s="4"/>
      <c r="F218" s="2"/>
      <c r="G218" s="2"/>
      <c r="H218" s="2"/>
      <c r="I218" s="2"/>
      <c r="J218" s="2"/>
      <c r="K218" s="2"/>
      <c r="L218" s="4"/>
      <c r="M218" s="2"/>
      <c r="N218" s="2"/>
      <c r="O218" s="2"/>
      <c r="P218" s="2"/>
      <c r="Q218" s="2"/>
    </row>
    <row r="219" spans="1:17" ht="9" customHeight="1">
      <c r="A219" s="2"/>
      <c r="B219" s="2"/>
      <c r="C219" s="2"/>
      <c r="D219" s="2"/>
      <c r="E219" s="4"/>
      <c r="F219" s="2"/>
      <c r="G219" s="2"/>
      <c r="H219" s="2"/>
      <c r="I219" s="2"/>
      <c r="J219" s="2"/>
      <c r="K219" s="2"/>
      <c r="L219" s="4"/>
      <c r="M219" s="2"/>
      <c r="N219" s="2"/>
      <c r="O219" s="2"/>
      <c r="P219" s="2"/>
      <c r="Q219" s="2"/>
    </row>
    <row r="220" spans="1:17" ht="9" customHeight="1">
      <c r="A220" s="2"/>
      <c r="B220" s="2"/>
      <c r="C220" s="2"/>
      <c r="D220" s="2"/>
      <c r="E220" s="4"/>
      <c r="F220" s="2"/>
      <c r="G220" s="2"/>
      <c r="H220" s="2"/>
      <c r="I220" s="2"/>
      <c r="J220" s="2"/>
      <c r="K220" s="2"/>
      <c r="L220" s="4"/>
      <c r="M220" s="2"/>
      <c r="N220" s="2"/>
      <c r="O220" s="2"/>
      <c r="P220" s="2"/>
      <c r="Q220" s="2"/>
    </row>
    <row r="221" spans="1:17" ht="9" customHeight="1">
      <c r="A221" s="2"/>
      <c r="B221" s="2"/>
      <c r="C221" s="2"/>
      <c r="D221" s="2"/>
      <c r="E221" s="4"/>
      <c r="F221" s="2"/>
      <c r="G221" s="2"/>
      <c r="H221" s="2"/>
      <c r="I221" s="2"/>
      <c r="J221" s="2"/>
      <c r="K221" s="2"/>
      <c r="L221" s="4"/>
      <c r="M221" s="2"/>
      <c r="N221" s="2"/>
      <c r="O221" s="2"/>
      <c r="P221" s="2"/>
      <c r="Q221" s="2"/>
    </row>
    <row r="222" spans="1:17" ht="9" customHeight="1">
      <c r="A222" s="2"/>
      <c r="B222" s="2"/>
      <c r="C222" s="2"/>
      <c r="D222" s="2"/>
      <c r="E222" s="4"/>
      <c r="F222" s="2"/>
      <c r="G222" s="2"/>
      <c r="H222" s="2"/>
      <c r="I222" s="2"/>
      <c r="J222" s="2"/>
      <c r="K222" s="2"/>
      <c r="L222" s="4"/>
      <c r="M222" s="2"/>
      <c r="N222" s="2"/>
      <c r="O222" s="2"/>
      <c r="P222" s="2"/>
      <c r="Q222" s="2"/>
    </row>
    <row r="223" spans="1:17" ht="9" customHeight="1">
      <c r="A223" s="2"/>
      <c r="B223" s="2"/>
      <c r="C223" s="2"/>
      <c r="D223" s="2"/>
      <c r="E223" s="4"/>
      <c r="F223" s="2"/>
      <c r="G223" s="2"/>
      <c r="H223" s="2"/>
      <c r="I223" s="2"/>
      <c r="J223" s="2"/>
      <c r="K223" s="2"/>
      <c r="L223" s="4"/>
      <c r="M223" s="2"/>
      <c r="N223" s="2"/>
      <c r="O223" s="2"/>
      <c r="P223" s="2"/>
      <c r="Q223" s="2"/>
    </row>
    <row r="224" spans="1:17" ht="9" customHeight="1">
      <c r="A224" s="2"/>
      <c r="B224" s="2"/>
      <c r="C224" s="2"/>
      <c r="D224" s="2"/>
      <c r="E224" s="4"/>
      <c r="F224" s="2"/>
      <c r="G224" s="2"/>
      <c r="H224" s="2"/>
      <c r="I224" s="2"/>
      <c r="J224" s="2"/>
      <c r="K224" s="2"/>
      <c r="L224" s="4"/>
      <c r="M224" s="2"/>
      <c r="N224" s="2"/>
      <c r="O224" s="2"/>
      <c r="P224" s="2"/>
      <c r="Q224" s="2"/>
    </row>
    <row r="225" spans="1:17" ht="9" customHeight="1">
      <c r="A225" s="2"/>
      <c r="B225" s="2"/>
      <c r="C225" s="2"/>
      <c r="D225" s="2"/>
      <c r="E225" s="4"/>
      <c r="F225" s="2"/>
      <c r="G225" s="2"/>
      <c r="H225" s="2"/>
      <c r="I225" s="2"/>
      <c r="J225" s="2"/>
      <c r="K225" s="2"/>
      <c r="L225" s="4"/>
      <c r="M225" s="2"/>
      <c r="N225" s="2"/>
      <c r="O225" s="2"/>
      <c r="P225" s="2"/>
      <c r="Q225" s="2"/>
    </row>
    <row r="226" spans="1:17" ht="9" customHeight="1">
      <c r="A226" s="2"/>
      <c r="B226" s="2"/>
      <c r="C226" s="2"/>
      <c r="D226" s="2"/>
      <c r="E226" s="4"/>
      <c r="F226" s="2"/>
      <c r="G226" s="2"/>
      <c r="H226" s="2"/>
      <c r="I226" s="2"/>
      <c r="J226" s="2"/>
      <c r="K226" s="2"/>
      <c r="L226" s="4"/>
      <c r="M226" s="2"/>
      <c r="N226" s="2"/>
      <c r="O226" s="2"/>
      <c r="P226" s="2"/>
      <c r="Q226" s="2"/>
    </row>
    <row r="227" spans="1:17" ht="9" customHeight="1">
      <c r="A227" s="2"/>
      <c r="B227" s="2"/>
      <c r="C227" s="2"/>
      <c r="D227" s="2"/>
      <c r="E227" s="4"/>
      <c r="F227" s="2"/>
      <c r="G227" s="2"/>
      <c r="H227" s="2"/>
      <c r="I227" s="2"/>
      <c r="J227" s="2"/>
      <c r="K227" s="2"/>
      <c r="L227" s="4"/>
      <c r="M227" s="2"/>
      <c r="N227" s="2"/>
      <c r="O227" s="2"/>
      <c r="P227" s="2"/>
      <c r="Q227" s="2"/>
    </row>
    <row r="228" spans="1:17" ht="9" customHeight="1">
      <c r="A228" s="2"/>
      <c r="B228" s="2"/>
      <c r="C228" s="2"/>
      <c r="D228" s="2"/>
      <c r="E228" s="4"/>
      <c r="F228" s="2"/>
      <c r="G228" s="2"/>
      <c r="H228" s="2"/>
      <c r="I228" s="2"/>
      <c r="J228" s="2"/>
      <c r="K228" s="2"/>
      <c r="L228" s="4"/>
      <c r="M228" s="2"/>
      <c r="N228" s="2"/>
      <c r="O228" s="2"/>
      <c r="P228" s="2"/>
      <c r="Q228" s="2"/>
    </row>
    <row r="229" spans="1:17" ht="9" customHeight="1">
      <c r="A229" s="2"/>
      <c r="B229" s="2"/>
      <c r="C229" s="2"/>
      <c r="D229" s="2"/>
      <c r="E229" s="4"/>
      <c r="F229" s="2"/>
      <c r="G229" s="2"/>
      <c r="H229" s="2"/>
      <c r="I229" s="2"/>
      <c r="J229" s="2"/>
      <c r="K229" s="2"/>
      <c r="L229" s="4"/>
      <c r="M229" s="2"/>
      <c r="N229" s="2"/>
      <c r="O229" s="2"/>
      <c r="P229" s="2"/>
      <c r="Q229" s="2"/>
    </row>
    <row r="230" spans="1:17" ht="9" customHeight="1">
      <c r="A230" s="2"/>
      <c r="B230" s="2"/>
      <c r="C230" s="2"/>
      <c r="D230" s="2"/>
      <c r="E230" s="4"/>
      <c r="F230" s="2"/>
      <c r="G230" s="2"/>
      <c r="H230" s="2"/>
      <c r="I230" s="2"/>
      <c r="J230" s="2"/>
      <c r="K230" s="2"/>
      <c r="L230" s="4"/>
      <c r="M230" s="2"/>
      <c r="N230" s="2"/>
      <c r="O230" s="2"/>
      <c r="P230" s="2"/>
      <c r="Q230" s="2"/>
    </row>
    <row r="231" spans="1:17" ht="9" customHeight="1">
      <c r="A231" s="2"/>
      <c r="B231" s="2"/>
      <c r="C231" s="2"/>
      <c r="D231" s="2"/>
      <c r="E231" s="4"/>
      <c r="F231" s="2"/>
      <c r="G231" s="2"/>
      <c r="H231" s="2"/>
      <c r="I231" s="2"/>
      <c r="J231" s="2"/>
      <c r="K231" s="2"/>
      <c r="L231" s="4"/>
      <c r="M231" s="2"/>
      <c r="N231" s="2"/>
      <c r="O231" s="2"/>
      <c r="P231" s="2"/>
      <c r="Q231" s="2"/>
    </row>
    <row r="232" spans="1:17" ht="9" customHeight="1">
      <c r="A232" s="2"/>
      <c r="B232" s="2"/>
      <c r="C232" s="2"/>
      <c r="D232" s="2"/>
      <c r="E232" s="4"/>
      <c r="F232" s="2"/>
      <c r="G232" s="2"/>
      <c r="H232" s="2"/>
      <c r="I232" s="2"/>
      <c r="J232" s="2"/>
      <c r="K232" s="2"/>
      <c r="L232" s="4"/>
      <c r="M232" s="2"/>
      <c r="N232" s="2"/>
      <c r="O232" s="2"/>
      <c r="P232" s="2"/>
      <c r="Q232" s="2"/>
    </row>
    <row r="233" spans="1:17" ht="9" customHeight="1">
      <c r="A233" s="2"/>
      <c r="B233" s="2"/>
      <c r="C233" s="2"/>
      <c r="D233" s="2"/>
      <c r="E233" s="4"/>
      <c r="F233" s="2"/>
      <c r="G233" s="2"/>
      <c r="H233" s="2"/>
      <c r="I233" s="2"/>
      <c r="J233" s="2"/>
      <c r="K233" s="2"/>
      <c r="L233" s="4"/>
      <c r="M233" s="2"/>
      <c r="N233" s="2"/>
      <c r="O233" s="2"/>
      <c r="P233" s="2"/>
      <c r="Q233" s="2"/>
    </row>
    <row r="234" spans="1:17" ht="9" customHeight="1">
      <c r="A234" s="2"/>
      <c r="B234" s="2"/>
      <c r="C234" s="2"/>
      <c r="D234" s="2"/>
      <c r="E234" s="4"/>
      <c r="F234" s="2"/>
      <c r="G234" s="2"/>
      <c r="H234" s="2"/>
      <c r="I234" s="2"/>
      <c r="J234" s="2"/>
      <c r="K234" s="2"/>
      <c r="L234" s="4"/>
      <c r="M234" s="2"/>
      <c r="N234" s="2"/>
      <c r="O234" s="2"/>
      <c r="P234" s="2"/>
      <c r="Q234" s="2"/>
    </row>
    <row r="235" spans="1:17" ht="9" customHeight="1">
      <c r="A235" s="2"/>
      <c r="B235" s="2"/>
      <c r="C235" s="2"/>
      <c r="D235" s="2"/>
      <c r="E235" s="4"/>
      <c r="F235" s="2"/>
      <c r="G235" s="2"/>
      <c r="H235" s="2"/>
      <c r="I235" s="2"/>
      <c r="J235" s="2"/>
      <c r="K235" s="2"/>
      <c r="L235" s="4"/>
      <c r="M235" s="2"/>
      <c r="N235" s="2"/>
      <c r="O235" s="2"/>
      <c r="P235" s="2"/>
      <c r="Q235" s="2"/>
    </row>
    <row r="236" spans="1:17" ht="9" customHeight="1">
      <c r="A236" s="2"/>
      <c r="B236" s="2"/>
      <c r="C236" s="2"/>
      <c r="D236" s="2"/>
      <c r="E236" s="4"/>
      <c r="F236" s="2"/>
      <c r="G236" s="2"/>
      <c r="H236" s="2"/>
      <c r="I236" s="2"/>
      <c r="J236" s="2"/>
      <c r="K236" s="2"/>
      <c r="L236" s="4"/>
      <c r="M236" s="2"/>
      <c r="N236" s="2"/>
      <c r="O236" s="2"/>
      <c r="P236" s="2"/>
      <c r="Q236" s="2"/>
    </row>
    <row r="237" spans="1:17" ht="9" customHeight="1">
      <c r="A237" s="2"/>
      <c r="B237" s="2"/>
      <c r="C237" s="2"/>
      <c r="D237" s="2"/>
      <c r="E237" s="4"/>
      <c r="F237" s="2"/>
      <c r="G237" s="2"/>
      <c r="H237" s="2"/>
      <c r="I237" s="2"/>
      <c r="J237" s="2"/>
      <c r="K237" s="2"/>
      <c r="L237" s="4"/>
      <c r="M237" s="2"/>
      <c r="N237" s="2"/>
      <c r="O237" s="2"/>
      <c r="P237" s="2"/>
      <c r="Q237" s="2"/>
    </row>
    <row r="238" spans="1:17" ht="9" customHeight="1">
      <c r="A238" s="2"/>
      <c r="B238" s="2"/>
      <c r="C238" s="2"/>
      <c r="D238" s="2"/>
      <c r="E238" s="4"/>
      <c r="F238" s="2"/>
      <c r="G238" s="2"/>
      <c r="H238" s="2"/>
      <c r="I238" s="2"/>
      <c r="J238" s="2"/>
      <c r="K238" s="2"/>
      <c r="L238" s="4"/>
      <c r="M238" s="2"/>
      <c r="N238" s="2"/>
      <c r="O238" s="2"/>
      <c r="P238" s="2"/>
      <c r="Q238" s="2"/>
    </row>
    <row r="239" spans="1:17" ht="9" customHeight="1">
      <c r="A239" s="2"/>
      <c r="B239" s="2"/>
      <c r="C239" s="2"/>
      <c r="D239" s="2"/>
      <c r="E239" s="4"/>
      <c r="F239" s="2"/>
      <c r="G239" s="2"/>
      <c r="H239" s="2"/>
      <c r="I239" s="2"/>
      <c r="J239" s="2"/>
      <c r="K239" s="2"/>
      <c r="L239" s="4"/>
      <c r="M239" s="2"/>
      <c r="N239" s="2"/>
      <c r="O239" s="2"/>
      <c r="P239" s="2"/>
      <c r="Q239" s="2"/>
    </row>
    <row r="240" spans="1:17" ht="9" customHeight="1">
      <c r="A240" s="2"/>
      <c r="B240" s="2"/>
      <c r="C240" s="2"/>
      <c r="D240" s="2"/>
      <c r="E240" s="4"/>
      <c r="F240" s="2"/>
      <c r="G240" s="2"/>
      <c r="H240" s="2"/>
      <c r="I240" s="2"/>
      <c r="J240" s="2"/>
      <c r="K240" s="2"/>
      <c r="L240" s="4"/>
      <c r="M240" s="2"/>
      <c r="N240" s="2"/>
      <c r="O240" s="2"/>
      <c r="P240" s="2"/>
      <c r="Q240" s="2"/>
    </row>
    <row r="241" spans="1:17" ht="9" customHeight="1">
      <c r="A241" s="2"/>
      <c r="B241" s="2"/>
      <c r="C241" s="2"/>
      <c r="D241" s="2"/>
      <c r="E241" s="4"/>
      <c r="F241" s="2"/>
      <c r="G241" s="2"/>
      <c r="H241" s="2"/>
      <c r="I241" s="2"/>
      <c r="J241" s="2"/>
      <c r="K241" s="2"/>
      <c r="L241" s="4"/>
      <c r="M241" s="2"/>
      <c r="N241" s="2"/>
      <c r="O241" s="2"/>
      <c r="P241" s="2"/>
      <c r="Q241" s="2"/>
    </row>
    <row r="242" spans="1:17" ht="9" customHeight="1">
      <c r="A242" s="2"/>
      <c r="B242" s="2"/>
      <c r="C242" s="2"/>
      <c r="D242" s="2"/>
      <c r="E242" s="4"/>
      <c r="F242" s="2"/>
      <c r="G242" s="2"/>
      <c r="H242" s="2"/>
      <c r="I242" s="2"/>
      <c r="J242" s="2"/>
      <c r="K242" s="2"/>
      <c r="L242" s="4"/>
      <c r="M242" s="2"/>
      <c r="N242" s="2"/>
      <c r="O242" s="2"/>
      <c r="P242" s="2"/>
      <c r="Q242" s="2"/>
    </row>
    <row r="243" spans="1:17" ht="9" customHeight="1">
      <c r="A243" s="2"/>
      <c r="B243" s="2"/>
      <c r="C243" s="2"/>
      <c r="D243" s="2"/>
      <c r="E243" s="4"/>
      <c r="F243" s="2"/>
      <c r="G243" s="2"/>
      <c r="H243" s="2"/>
      <c r="I243" s="2"/>
      <c r="J243" s="2"/>
      <c r="K243" s="2"/>
      <c r="L243" s="4"/>
      <c r="M243" s="2"/>
      <c r="N243" s="2"/>
      <c r="O243" s="2"/>
      <c r="P243" s="2"/>
      <c r="Q243" s="2"/>
    </row>
    <row r="244" spans="1:17" ht="9" customHeight="1">
      <c r="A244" s="2"/>
      <c r="B244" s="2"/>
      <c r="C244" s="2"/>
      <c r="D244" s="2"/>
      <c r="E244" s="4"/>
      <c r="F244" s="2"/>
      <c r="G244" s="2"/>
      <c r="H244" s="2"/>
      <c r="I244" s="2"/>
      <c r="J244" s="2"/>
      <c r="K244" s="2"/>
      <c r="L244" s="4"/>
      <c r="M244" s="2"/>
      <c r="N244" s="2"/>
      <c r="O244" s="2"/>
      <c r="P244" s="2"/>
      <c r="Q244" s="2"/>
    </row>
    <row r="245" spans="1:17" ht="9" customHeight="1">
      <c r="A245" s="2"/>
      <c r="B245" s="2"/>
      <c r="C245" s="2"/>
      <c r="D245" s="2"/>
      <c r="E245" s="4"/>
      <c r="F245" s="2"/>
      <c r="G245" s="2"/>
      <c r="H245" s="2"/>
      <c r="I245" s="2"/>
      <c r="J245" s="2"/>
      <c r="K245" s="2"/>
      <c r="L245" s="4"/>
      <c r="M245" s="2"/>
      <c r="N245" s="2"/>
      <c r="O245" s="2"/>
      <c r="P245" s="2"/>
      <c r="Q245" s="2"/>
    </row>
    <row r="246" spans="1:17" ht="9" customHeight="1">
      <c r="A246" s="2"/>
      <c r="B246" s="2"/>
      <c r="C246" s="2"/>
      <c r="D246" s="2"/>
      <c r="E246" s="4"/>
      <c r="F246" s="2"/>
      <c r="G246" s="2"/>
      <c r="H246" s="2"/>
      <c r="I246" s="2"/>
      <c r="J246" s="2"/>
      <c r="K246" s="2"/>
      <c r="L246" s="4"/>
      <c r="M246" s="2"/>
      <c r="N246" s="2"/>
      <c r="O246" s="2"/>
      <c r="P246" s="2"/>
      <c r="Q246" s="2"/>
    </row>
    <row r="247" spans="1:17" ht="9" customHeight="1">
      <c r="A247" s="2"/>
      <c r="B247" s="2"/>
      <c r="C247" s="2"/>
      <c r="D247" s="2"/>
      <c r="E247" s="4"/>
      <c r="F247" s="2"/>
      <c r="G247" s="2"/>
      <c r="H247" s="2"/>
      <c r="I247" s="2"/>
      <c r="J247" s="2"/>
      <c r="K247" s="2"/>
      <c r="L247" s="4"/>
      <c r="M247" s="2"/>
      <c r="N247" s="2"/>
      <c r="O247" s="2"/>
      <c r="P247" s="2"/>
      <c r="Q247" s="2"/>
    </row>
    <row r="248" spans="1:17" ht="9" customHeight="1">
      <c r="A248" s="2"/>
      <c r="B248" s="2"/>
      <c r="C248" s="2"/>
      <c r="D248" s="2"/>
      <c r="E248" s="4"/>
      <c r="F248" s="2"/>
      <c r="G248" s="2"/>
      <c r="H248" s="2"/>
      <c r="I248" s="2"/>
      <c r="J248" s="2"/>
      <c r="K248" s="2"/>
      <c r="L248" s="4"/>
      <c r="M248" s="2"/>
      <c r="N248" s="2"/>
      <c r="O248" s="2"/>
      <c r="P248" s="2"/>
      <c r="Q248" s="2"/>
    </row>
    <row r="249" spans="1:17" ht="9" customHeight="1">
      <c r="A249" s="2"/>
      <c r="B249" s="2"/>
      <c r="C249" s="2"/>
      <c r="D249" s="2"/>
      <c r="E249" s="4"/>
      <c r="F249" s="2"/>
      <c r="G249" s="2"/>
      <c r="H249" s="2"/>
      <c r="I249" s="2"/>
      <c r="J249" s="2"/>
      <c r="K249" s="2"/>
      <c r="L249" s="4"/>
      <c r="M249" s="2"/>
      <c r="N249" s="2"/>
      <c r="O249" s="2"/>
      <c r="P249" s="2"/>
      <c r="Q249" s="2"/>
    </row>
    <row r="250" spans="1:17" ht="9" customHeight="1">
      <c r="A250" s="2"/>
      <c r="B250" s="2"/>
      <c r="C250" s="2"/>
      <c r="D250" s="2"/>
      <c r="E250" s="4"/>
      <c r="F250" s="2"/>
      <c r="G250" s="2"/>
      <c r="H250" s="2"/>
      <c r="I250" s="2"/>
      <c r="J250" s="2"/>
      <c r="K250" s="2"/>
      <c r="L250" s="4"/>
      <c r="M250" s="2"/>
      <c r="N250" s="2"/>
      <c r="O250" s="2"/>
      <c r="P250" s="2"/>
      <c r="Q250" s="2"/>
    </row>
    <row r="251" spans="1:17" ht="9" customHeight="1">
      <c r="A251" s="2"/>
      <c r="B251" s="2"/>
      <c r="C251" s="2"/>
      <c r="D251" s="2"/>
      <c r="E251" s="4"/>
      <c r="F251" s="2"/>
      <c r="G251" s="2"/>
      <c r="H251" s="2"/>
      <c r="I251" s="2"/>
      <c r="J251" s="2"/>
      <c r="K251" s="2"/>
      <c r="L251" s="4"/>
      <c r="M251" s="2"/>
      <c r="N251" s="2"/>
      <c r="O251" s="2"/>
      <c r="P251" s="2"/>
      <c r="Q251" s="2"/>
    </row>
    <row r="252" spans="1:17" ht="9" customHeight="1">
      <c r="A252" s="2"/>
      <c r="B252" s="2"/>
      <c r="C252" s="2"/>
      <c r="D252" s="2"/>
      <c r="E252" s="4"/>
      <c r="F252" s="2"/>
      <c r="G252" s="2"/>
      <c r="H252" s="2"/>
      <c r="I252" s="2"/>
      <c r="J252" s="2"/>
      <c r="K252" s="2"/>
      <c r="L252" s="4"/>
      <c r="M252" s="2"/>
      <c r="N252" s="2"/>
      <c r="O252" s="2"/>
      <c r="P252" s="2"/>
      <c r="Q252" s="2"/>
    </row>
    <row r="253" spans="1:17" ht="9" customHeight="1">
      <c r="A253" s="2"/>
      <c r="B253" s="2"/>
      <c r="C253" s="2"/>
      <c r="D253" s="2"/>
      <c r="E253" s="4"/>
      <c r="F253" s="2"/>
      <c r="G253" s="2"/>
      <c r="H253" s="2"/>
      <c r="I253" s="2"/>
      <c r="J253" s="2"/>
      <c r="K253" s="2"/>
      <c r="L253" s="4"/>
      <c r="M253" s="2"/>
      <c r="N253" s="2"/>
      <c r="O253" s="2"/>
      <c r="P253" s="2"/>
      <c r="Q253" s="2"/>
    </row>
    <row r="254" spans="1:17" ht="9" customHeight="1">
      <c r="A254" s="2"/>
      <c r="B254" s="2"/>
      <c r="C254" s="2"/>
      <c r="D254" s="2"/>
      <c r="E254" s="4"/>
      <c r="F254" s="2"/>
      <c r="G254" s="2"/>
      <c r="H254" s="2"/>
      <c r="I254" s="2"/>
      <c r="J254" s="2"/>
      <c r="K254" s="2"/>
      <c r="L254" s="4"/>
      <c r="M254" s="2"/>
      <c r="N254" s="2"/>
      <c r="O254" s="2"/>
      <c r="P254" s="2"/>
      <c r="Q254" s="2"/>
    </row>
    <row r="255" spans="1:17" ht="9" customHeight="1">
      <c r="A255" s="2"/>
      <c r="B255" s="2"/>
      <c r="C255" s="2"/>
      <c r="D255" s="2"/>
      <c r="E255" s="4"/>
      <c r="F255" s="2"/>
      <c r="G255" s="2"/>
      <c r="H255" s="2"/>
      <c r="I255" s="2"/>
      <c r="J255" s="2"/>
      <c r="K255" s="2"/>
      <c r="L255" s="4"/>
      <c r="M255" s="2"/>
      <c r="N255" s="2"/>
      <c r="O255" s="2"/>
      <c r="P255" s="2"/>
      <c r="Q255" s="2"/>
    </row>
    <row r="256" spans="1:17" ht="9" customHeight="1">
      <c r="A256" s="2"/>
      <c r="B256" s="2"/>
      <c r="C256" s="2"/>
      <c r="D256" s="2"/>
      <c r="E256" s="4"/>
      <c r="F256" s="2"/>
      <c r="G256" s="2"/>
      <c r="H256" s="2"/>
      <c r="I256" s="2"/>
      <c r="J256" s="2"/>
      <c r="K256" s="2"/>
      <c r="L256" s="4"/>
      <c r="M256" s="2"/>
      <c r="N256" s="2"/>
      <c r="O256" s="2"/>
      <c r="P256" s="2"/>
      <c r="Q256" s="2"/>
    </row>
    <row r="257" spans="1:17" ht="9" customHeight="1">
      <c r="A257" s="2"/>
      <c r="B257" s="2"/>
      <c r="C257" s="2"/>
      <c r="D257" s="2"/>
      <c r="E257" s="4"/>
      <c r="F257" s="2"/>
      <c r="G257" s="2"/>
      <c r="H257" s="2"/>
      <c r="I257" s="2"/>
      <c r="J257" s="2"/>
      <c r="K257" s="2"/>
      <c r="L257" s="4"/>
      <c r="M257" s="2"/>
      <c r="N257" s="2"/>
      <c r="O257" s="2"/>
      <c r="P257" s="2"/>
      <c r="Q257" s="2"/>
    </row>
    <row r="258" spans="1:17" ht="9" customHeight="1">
      <c r="A258" s="2"/>
      <c r="B258" s="2"/>
      <c r="C258" s="2"/>
      <c r="D258" s="2"/>
      <c r="E258" s="4"/>
      <c r="F258" s="2"/>
      <c r="G258" s="2"/>
      <c r="H258" s="2"/>
      <c r="I258" s="2"/>
      <c r="J258" s="2"/>
      <c r="K258" s="2"/>
      <c r="L258" s="4"/>
      <c r="M258" s="2"/>
      <c r="N258" s="2"/>
      <c r="O258" s="2"/>
      <c r="P258" s="2"/>
      <c r="Q258" s="2"/>
    </row>
    <row r="259" spans="1:17" ht="9" customHeight="1">
      <c r="A259" s="2"/>
      <c r="B259" s="2"/>
      <c r="C259" s="2"/>
      <c r="D259" s="2"/>
      <c r="E259" s="4"/>
      <c r="F259" s="2"/>
      <c r="G259" s="2"/>
      <c r="H259" s="2"/>
      <c r="I259" s="2"/>
      <c r="J259" s="2"/>
      <c r="K259" s="2"/>
      <c r="L259" s="4"/>
      <c r="M259" s="2"/>
      <c r="N259" s="2"/>
      <c r="O259" s="2"/>
      <c r="P259" s="2"/>
      <c r="Q259" s="2"/>
    </row>
    <row r="260" spans="1:17" ht="9" customHeight="1">
      <c r="A260" s="2"/>
      <c r="B260" s="2"/>
      <c r="C260" s="2"/>
      <c r="D260" s="2"/>
      <c r="E260" s="4"/>
      <c r="F260" s="2"/>
      <c r="G260" s="2"/>
      <c r="H260" s="2"/>
      <c r="I260" s="2"/>
      <c r="J260" s="2"/>
      <c r="K260" s="2"/>
      <c r="L260" s="4"/>
      <c r="M260" s="2"/>
      <c r="N260" s="2"/>
      <c r="O260" s="2"/>
      <c r="P260" s="2"/>
      <c r="Q260" s="2"/>
    </row>
    <row r="261" spans="1:17" ht="9" customHeight="1">
      <c r="A261" s="2"/>
      <c r="B261" s="2"/>
      <c r="C261" s="2"/>
      <c r="D261" s="2"/>
      <c r="E261" s="4"/>
      <c r="F261" s="2"/>
      <c r="G261" s="2"/>
      <c r="H261" s="2"/>
      <c r="I261" s="2"/>
      <c r="J261" s="2"/>
      <c r="K261" s="2"/>
      <c r="L261" s="4"/>
      <c r="M261" s="2"/>
      <c r="N261" s="2"/>
      <c r="O261" s="2"/>
      <c r="P261" s="2"/>
      <c r="Q261" s="2"/>
    </row>
    <row r="262" spans="1:17" ht="9" customHeight="1">
      <c r="A262" s="2"/>
      <c r="B262" s="2"/>
      <c r="C262" s="2"/>
      <c r="D262" s="2"/>
      <c r="E262" s="4"/>
      <c r="F262" s="2"/>
      <c r="G262" s="2"/>
      <c r="H262" s="2"/>
      <c r="I262" s="2"/>
      <c r="J262" s="2"/>
      <c r="K262" s="2"/>
      <c r="L262" s="4"/>
      <c r="M262" s="2"/>
      <c r="N262" s="2"/>
      <c r="O262" s="2"/>
      <c r="P262" s="2"/>
      <c r="Q262" s="2"/>
    </row>
    <row r="263" spans="1:17" ht="9" customHeight="1">
      <c r="A263" s="2"/>
      <c r="B263" s="2"/>
      <c r="C263" s="2"/>
      <c r="D263" s="2"/>
      <c r="E263" s="4"/>
      <c r="F263" s="2"/>
      <c r="G263" s="2"/>
      <c r="H263" s="2"/>
      <c r="I263" s="2"/>
      <c r="J263" s="2"/>
      <c r="K263" s="2"/>
      <c r="L263" s="4"/>
      <c r="M263" s="2"/>
      <c r="N263" s="2"/>
      <c r="O263" s="2"/>
      <c r="P263" s="2"/>
      <c r="Q263" s="2"/>
    </row>
    <row r="264" spans="1:17" ht="9" customHeight="1">
      <c r="A264" s="2"/>
      <c r="B264" s="2"/>
      <c r="C264" s="2"/>
      <c r="D264" s="2"/>
      <c r="E264" s="4"/>
      <c r="F264" s="2"/>
      <c r="G264" s="2"/>
      <c r="H264" s="2"/>
      <c r="I264" s="2"/>
      <c r="J264" s="2"/>
      <c r="K264" s="2"/>
      <c r="L264" s="4"/>
      <c r="M264" s="2"/>
      <c r="N264" s="2"/>
      <c r="O264" s="2"/>
      <c r="P264" s="2"/>
      <c r="Q264" s="2"/>
    </row>
    <row r="265" spans="1:17" ht="9" customHeight="1">
      <c r="A265" s="2"/>
      <c r="B265" s="2"/>
      <c r="C265" s="2"/>
      <c r="D265" s="2"/>
      <c r="E265" s="4"/>
      <c r="F265" s="2"/>
      <c r="G265" s="2"/>
      <c r="H265" s="2"/>
      <c r="I265" s="2"/>
      <c r="J265" s="2"/>
      <c r="K265" s="2"/>
      <c r="L265" s="4"/>
      <c r="M265" s="2"/>
      <c r="N265" s="2"/>
      <c r="O265" s="2"/>
      <c r="P265" s="2"/>
      <c r="Q265" s="2"/>
    </row>
    <row r="266" spans="1:17" ht="9" customHeight="1">
      <c r="A266" s="2"/>
      <c r="B266" s="2"/>
      <c r="C266" s="2"/>
      <c r="D266" s="2"/>
      <c r="E266" s="4"/>
      <c r="F266" s="2"/>
      <c r="G266" s="2"/>
      <c r="H266" s="2"/>
      <c r="I266" s="2"/>
      <c r="J266" s="2"/>
      <c r="K266" s="2"/>
      <c r="L266" s="4"/>
      <c r="M266" s="2"/>
      <c r="N266" s="2"/>
      <c r="O266" s="2"/>
      <c r="P266" s="2"/>
      <c r="Q266" s="2"/>
    </row>
    <row r="267" spans="1:17" ht="9" customHeight="1">
      <c r="A267" s="2"/>
      <c r="B267" s="2"/>
      <c r="C267" s="2"/>
      <c r="D267" s="2"/>
      <c r="E267" s="4"/>
      <c r="F267" s="2"/>
      <c r="G267" s="2"/>
      <c r="H267" s="2"/>
      <c r="I267" s="2"/>
      <c r="J267" s="2"/>
      <c r="K267" s="2"/>
      <c r="L267" s="4"/>
      <c r="M267" s="2"/>
      <c r="N267" s="2"/>
      <c r="O267" s="2"/>
      <c r="P267" s="2"/>
      <c r="Q267" s="2"/>
    </row>
    <row r="268" spans="1:17" ht="9" customHeight="1">
      <c r="A268" s="2"/>
      <c r="B268" s="2"/>
      <c r="C268" s="2"/>
      <c r="D268" s="2"/>
      <c r="E268" s="4"/>
      <c r="F268" s="2"/>
      <c r="G268" s="2"/>
      <c r="H268" s="2"/>
      <c r="I268" s="2"/>
      <c r="J268" s="2"/>
      <c r="K268" s="2"/>
      <c r="L268" s="4"/>
      <c r="M268" s="2"/>
      <c r="N268" s="2"/>
      <c r="O268" s="2"/>
      <c r="P268" s="2"/>
      <c r="Q268" s="2"/>
    </row>
    <row r="269" spans="1:17" ht="9" customHeight="1">
      <c r="A269" s="2"/>
      <c r="B269" s="2"/>
      <c r="C269" s="2"/>
      <c r="D269" s="2"/>
      <c r="E269" s="4"/>
      <c r="F269" s="2"/>
      <c r="G269" s="2"/>
      <c r="H269" s="2"/>
      <c r="I269" s="2"/>
      <c r="J269" s="2"/>
      <c r="K269" s="2"/>
      <c r="L269" s="4"/>
      <c r="M269" s="2"/>
      <c r="N269" s="2"/>
      <c r="O269" s="2"/>
      <c r="P269" s="2"/>
      <c r="Q269" s="2"/>
    </row>
    <row r="270" spans="1:17" ht="9" customHeight="1">
      <c r="A270" s="2"/>
      <c r="B270" s="2"/>
      <c r="C270" s="2"/>
      <c r="D270" s="2"/>
      <c r="E270" s="4"/>
      <c r="F270" s="2"/>
      <c r="G270" s="2"/>
      <c r="H270" s="2"/>
      <c r="I270" s="2"/>
      <c r="J270" s="2"/>
      <c r="K270" s="2"/>
      <c r="L270" s="4"/>
      <c r="M270" s="2"/>
      <c r="N270" s="2"/>
      <c r="O270" s="2"/>
      <c r="P270" s="2"/>
      <c r="Q270" s="2"/>
    </row>
    <row r="271" spans="1:17" ht="9" customHeight="1">
      <c r="A271" s="2"/>
      <c r="B271" s="2"/>
      <c r="C271" s="2"/>
      <c r="D271" s="2"/>
      <c r="E271" s="4"/>
      <c r="F271" s="2"/>
      <c r="G271" s="2"/>
      <c r="H271" s="2"/>
      <c r="I271" s="2"/>
      <c r="J271" s="2"/>
      <c r="K271" s="2"/>
      <c r="L271" s="4"/>
      <c r="M271" s="2"/>
      <c r="N271" s="2"/>
      <c r="O271" s="2"/>
      <c r="P271" s="2"/>
      <c r="Q271" s="2"/>
    </row>
    <row r="272" spans="1:17" ht="9" customHeight="1">
      <c r="A272" s="2"/>
      <c r="B272" s="2"/>
      <c r="C272" s="2"/>
      <c r="D272" s="2"/>
      <c r="E272" s="4"/>
      <c r="F272" s="2"/>
      <c r="G272" s="2"/>
      <c r="H272" s="2"/>
      <c r="I272" s="2"/>
      <c r="J272" s="2"/>
      <c r="K272" s="2"/>
      <c r="L272" s="4"/>
      <c r="M272" s="2"/>
      <c r="N272" s="2"/>
      <c r="O272" s="2"/>
      <c r="P272" s="2"/>
      <c r="Q272" s="2"/>
    </row>
    <row r="273" spans="1:17" ht="9" customHeight="1">
      <c r="A273" s="2"/>
      <c r="B273" s="2"/>
      <c r="C273" s="2"/>
      <c r="D273" s="2"/>
      <c r="E273" s="4"/>
      <c r="F273" s="2"/>
      <c r="G273" s="2"/>
      <c r="H273" s="2"/>
      <c r="I273" s="2"/>
      <c r="J273" s="2"/>
      <c r="K273" s="2"/>
      <c r="L273" s="4"/>
      <c r="M273" s="2"/>
      <c r="N273" s="2"/>
      <c r="O273" s="2"/>
      <c r="P273" s="2"/>
      <c r="Q273" s="2"/>
    </row>
    <row r="274" spans="1:17" ht="9" customHeight="1">
      <c r="A274" s="2"/>
      <c r="B274" s="2"/>
      <c r="C274" s="2"/>
      <c r="D274" s="2"/>
      <c r="E274" s="4"/>
      <c r="F274" s="2"/>
      <c r="G274" s="2"/>
      <c r="H274" s="2"/>
      <c r="I274" s="2"/>
      <c r="J274" s="2"/>
      <c r="K274" s="2"/>
      <c r="L274" s="4"/>
      <c r="M274" s="2"/>
      <c r="N274" s="2"/>
      <c r="O274" s="2"/>
      <c r="P274" s="2"/>
      <c r="Q274" s="2"/>
    </row>
    <row r="275" spans="1:17" ht="9" customHeight="1">
      <c r="A275" s="2"/>
      <c r="B275" s="2"/>
      <c r="C275" s="2"/>
      <c r="D275" s="2"/>
      <c r="E275" s="4"/>
      <c r="F275" s="2"/>
      <c r="G275" s="2"/>
      <c r="H275" s="2"/>
      <c r="I275" s="2"/>
      <c r="J275" s="2"/>
      <c r="K275" s="2"/>
      <c r="L275" s="4"/>
      <c r="M275" s="2"/>
      <c r="N275" s="2"/>
      <c r="O275" s="2"/>
      <c r="P275" s="2"/>
      <c r="Q275" s="2"/>
    </row>
    <row r="276" spans="1:17" ht="9" customHeight="1">
      <c r="A276" s="2"/>
      <c r="B276" s="2"/>
      <c r="C276" s="2"/>
      <c r="D276" s="2"/>
      <c r="E276" s="4"/>
      <c r="F276" s="2"/>
      <c r="G276" s="2"/>
      <c r="H276" s="2"/>
      <c r="I276" s="2"/>
      <c r="J276" s="2"/>
      <c r="K276" s="2"/>
      <c r="L276" s="4"/>
      <c r="M276" s="2"/>
      <c r="N276" s="2"/>
      <c r="O276" s="2"/>
      <c r="P276" s="2"/>
      <c r="Q276" s="2"/>
    </row>
    <row r="277" spans="1:17" ht="9" customHeight="1">
      <c r="A277" s="2"/>
      <c r="B277" s="2"/>
      <c r="C277" s="2"/>
      <c r="D277" s="2"/>
      <c r="E277" s="4"/>
      <c r="F277" s="2"/>
      <c r="G277" s="2"/>
      <c r="H277" s="2"/>
      <c r="I277" s="2"/>
      <c r="J277" s="2"/>
      <c r="K277" s="2"/>
      <c r="L277" s="4"/>
      <c r="M277" s="2"/>
      <c r="N277" s="2"/>
      <c r="O277" s="2"/>
      <c r="P277" s="2"/>
      <c r="Q277" s="2"/>
    </row>
    <row r="278" spans="1:17" ht="9" customHeight="1">
      <c r="A278" s="2"/>
      <c r="B278" s="2"/>
      <c r="C278" s="2"/>
      <c r="D278" s="2"/>
      <c r="E278" s="4"/>
      <c r="F278" s="2"/>
      <c r="G278" s="2"/>
      <c r="H278" s="2"/>
      <c r="I278" s="2"/>
      <c r="J278" s="2"/>
      <c r="K278" s="2"/>
      <c r="L278" s="4"/>
      <c r="M278" s="2"/>
      <c r="N278" s="2"/>
      <c r="O278" s="2"/>
      <c r="P278" s="2"/>
      <c r="Q278" s="2"/>
    </row>
    <row r="279" spans="1:17" ht="9" customHeight="1">
      <c r="A279" s="2"/>
      <c r="B279" s="2"/>
      <c r="C279" s="2"/>
      <c r="D279" s="2"/>
      <c r="E279" s="4"/>
      <c r="F279" s="2"/>
      <c r="G279" s="2"/>
      <c r="H279" s="2"/>
      <c r="I279" s="2"/>
      <c r="J279" s="2"/>
      <c r="K279" s="2"/>
      <c r="L279" s="4"/>
      <c r="M279" s="2"/>
      <c r="N279" s="2"/>
      <c r="O279" s="2"/>
      <c r="P279" s="2"/>
      <c r="Q279" s="2"/>
    </row>
    <row r="280" spans="1:17" ht="9" customHeight="1">
      <c r="A280" s="2"/>
      <c r="B280" s="2"/>
      <c r="C280" s="2"/>
      <c r="D280" s="2"/>
      <c r="E280" s="4"/>
      <c r="F280" s="2"/>
      <c r="G280" s="2"/>
      <c r="H280" s="2"/>
      <c r="I280" s="2"/>
      <c r="J280" s="2"/>
      <c r="K280" s="2"/>
      <c r="L280" s="4"/>
      <c r="M280" s="2"/>
      <c r="N280" s="2"/>
      <c r="O280" s="2"/>
      <c r="P280" s="2"/>
      <c r="Q280" s="2"/>
    </row>
    <row r="281" spans="1:17" ht="9" customHeight="1">
      <c r="A281" s="2"/>
      <c r="B281" s="2"/>
      <c r="C281" s="2"/>
      <c r="D281" s="2"/>
      <c r="E281" s="4"/>
      <c r="F281" s="2"/>
      <c r="G281" s="2"/>
      <c r="H281" s="2"/>
      <c r="I281" s="2"/>
      <c r="J281" s="2"/>
      <c r="K281" s="2"/>
      <c r="L281" s="4"/>
      <c r="M281" s="2"/>
      <c r="N281" s="2"/>
      <c r="O281" s="2"/>
      <c r="P281" s="2"/>
      <c r="Q281" s="2"/>
    </row>
  </sheetData>
  <sheetProtection/>
  <mergeCells count="80">
    <mergeCell ref="H83:I83"/>
    <mergeCell ref="H82:I82"/>
    <mergeCell ref="H80:I80"/>
    <mergeCell ref="A76:B76"/>
    <mergeCell ref="A77:B77"/>
    <mergeCell ref="A78:B79"/>
    <mergeCell ref="A81:B81"/>
    <mergeCell ref="A82:B82"/>
    <mergeCell ref="H162:L162"/>
    <mergeCell ref="H150:L151"/>
    <mergeCell ref="H161:L161"/>
    <mergeCell ref="H139:L139"/>
    <mergeCell ref="H158:L158"/>
    <mergeCell ref="H160:L160"/>
    <mergeCell ref="H87:I87"/>
    <mergeCell ref="H85:I85"/>
    <mergeCell ref="H86:I86"/>
    <mergeCell ref="H84:I84"/>
    <mergeCell ref="A69:L69"/>
    <mergeCell ref="A71:F71"/>
    <mergeCell ref="H75:I75"/>
    <mergeCell ref="H74:I74"/>
    <mergeCell ref="H73:I73"/>
    <mergeCell ref="H72:I72"/>
    <mergeCell ref="H71:L71"/>
    <mergeCell ref="H70:I70"/>
    <mergeCell ref="A72:B73"/>
    <mergeCell ref="A74:B75"/>
    <mergeCell ref="A140:F140"/>
    <mergeCell ref="A141:A142"/>
    <mergeCell ref="B100:C100"/>
    <mergeCell ref="B101:C101"/>
    <mergeCell ref="A148:E148"/>
    <mergeCell ref="B102:C102"/>
    <mergeCell ref="B103:C103"/>
    <mergeCell ref="A107:A108"/>
    <mergeCell ref="A114:A115"/>
    <mergeCell ref="B114:C114"/>
    <mergeCell ref="B115:C115"/>
    <mergeCell ref="B116:C116"/>
    <mergeCell ref="B117:C117"/>
    <mergeCell ref="B118:C118"/>
    <mergeCell ref="A85:B85"/>
    <mergeCell ref="A86:B86"/>
    <mergeCell ref="A87:B87"/>
    <mergeCell ref="A83:B84"/>
    <mergeCell ref="A92:F92"/>
    <mergeCell ref="B93:C93"/>
    <mergeCell ref="B94:C94"/>
    <mergeCell ref="B113:C113"/>
    <mergeCell ref="B98:C98"/>
    <mergeCell ref="B99:C99"/>
    <mergeCell ref="A95:A96"/>
    <mergeCell ref="B95:C95"/>
    <mergeCell ref="B96:C96"/>
    <mergeCell ref="B97:C97"/>
    <mergeCell ref="A97:A98"/>
    <mergeCell ref="A70:B70"/>
    <mergeCell ref="B91:C91"/>
    <mergeCell ref="A80:B80"/>
    <mergeCell ref="A89:Q89"/>
    <mergeCell ref="A90:L90"/>
    <mergeCell ref="H77:I77"/>
    <mergeCell ref="H76:I76"/>
    <mergeCell ref="H79:I79"/>
    <mergeCell ref="H78:I78"/>
    <mergeCell ref="A62:L62"/>
    <mergeCell ref="A21:L21"/>
    <mergeCell ref="A22:L22"/>
    <mergeCell ref="A1:L1"/>
    <mergeCell ref="A40:L40"/>
    <mergeCell ref="A41:L41"/>
    <mergeCell ref="A34:L34"/>
    <mergeCell ref="A23:L23"/>
    <mergeCell ref="A28:L28"/>
    <mergeCell ref="A4:L4"/>
    <mergeCell ref="A5:L5"/>
    <mergeCell ref="A20:L20"/>
    <mergeCell ref="A54:L54"/>
    <mergeCell ref="A61:L61"/>
  </mergeCells>
  <printOptions horizontalCentered="1"/>
  <pageMargins left="0" right="0" top="0" bottom="0" header="0" footer="0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="90" zoomScaleNormal="75" zoomScaleSheetLayoutView="90" workbookViewId="0" topLeftCell="A40">
      <selection activeCell="F73" sqref="F73"/>
    </sheetView>
  </sheetViews>
  <sheetFormatPr defaultColWidth="9.00390625" defaultRowHeight="30" customHeight="1"/>
  <cols>
    <col min="1" max="1" width="3.125" style="1692" customWidth="1"/>
    <col min="2" max="2" width="26.75390625" style="1705" customWidth="1"/>
    <col min="3" max="3" width="16.375" style="1705" customWidth="1"/>
    <col min="4" max="4" width="18.25390625" style="1853" customWidth="1"/>
    <col min="5" max="5" width="1.12109375" style="1854" customWidth="1"/>
    <col min="6" max="6" width="33.875" style="1705" customWidth="1"/>
    <col min="7" max="8" width="17.125" style="1705" customWidth="1"/>
    <col min="9" max="9" width="12.75390625" style="1692" customWidth="1"/>
    <col min="10" max="16384" width="9.125" style="1692" customWidth="1"/>
  </cols>
  <sheetData>
    <row r="1" spans="1:3" ht="22.5" customHeight="1">
      <c r="A1" s="1852" t="s">
        <v>829</v>
      </c>
      <c r="B1" s="2193" t="s">
        <v>1074</v>
      </c>
      <c r="C1" s="2193"/>
    </row>
    <row r="2" spans="1:8" s="1690" customFormat="1" ht="18" customHeight="1">
      <c r="A2" s="1855"/>
      <c r="B2" s="2195" t="s">
        <v>1075</v>
      </c>
      <c r="C2" s="2195"/>
      <c r="D2" s="2195"/>
      <c r="E2" s="2195"/>
      <c r="F2" s="2195"/>
      <c r="G2" s="2195"/>
      <c r="H2" s="2195"/>
    </row>
    <row r="3" spans="1:8" s="1690" customFormat="1" ht="18" customHeight="1">
      <c r="A3" s="1855"/>
      <c r="B3" s="2196" t="s">
        <v>336</v>
      </c>
      <c r="C3" s="2196"/>
      <c r="D3" s="2196"/>
      <c r="E3" s="2196"/>
      <c r="F3" s="2196"/>
      <c r="G3" s="2196"/>
      <c r="H3" s="2196"/>
    </row>
    <row r="4" spans="1:8" ht="18" customHeight="1">
      <c r="A4" s="1856"/>
      <c r="B4" s="2197" t="s">
        <v>1444</v>
      </c>
      <c r="C4" s="2197"/>
      <c r="D4" s="2197"/>
      <c r="E4" s="2197"/>
      <c r="F4" s="2197"/>
      <c r="G4" s="2197"/>
      <c r="H4" s="2197"/>
    </row>
    <row r="5" spans="1:8" s="1860" customFormat="1" ht="18" customHeight="1">
      <c r="A5" s="2200" t="s">
        <v>958</v>
      </c>
      <c r="B5" s="2200"/>
      <c r="C5" s="2200"/>
      <c r="D5" s="2200"/>
      <c r="E5" s="1857"/>
      <c r="F5" s="1858" t="s">
        <v>959</v>
      </c>
      <c r="G5" s="1859"/>
      <c r="H5" s="1859"/>
    </row>
    <row r="6" spans="1:8" s="1860" customFormat="1" ht="18" customHeight="1">
      <c r="A6" s="2199" t="s">
        <v>960</v>
      </c>
      <c r="B6" s="2199"/>
      <c r="C6" s="2199"/>
      <c r="D6" s="2199"/>
      <c r="E6" s="1861"/>
      <c r="F6" s="2198" t="s">
        <v>961</v>
      </c>
      <c r="G6" s="2198"/>
      <c r="H6" s="2198"/>
    </row>
    <row r="7" spans="1:8" s="1860" customFormat="1" ht="18" customHeight="1" thickBot="1">
      <c r="A7" s="2201" t="s">
        <v>149</v>
      </c>
      <c r="B7" s="2201"/>
      <c r="C7" s="2201"/>
      <c r="D7" s="2201"/>
      <c r="E7" s="1862"/>
      <c r="F7" s="1863" t="s">
        <v>1076</v>
      </c>
      <c r="G7" s="1864"/>
      <c r="H7" s="1865"/>
    </row>
    <row r="8" spans="2:8" ht="18" customHeight="1" thickTop="1">
      <c r="B8" s="1866" t="s">
        <v>1077</v>
      </c>
      <c r="C8" s="1867"/>
      <c r="D8" s="1867"/>
      <c r="E8" s="1867"/>
      <c r="F8" s="1867"/>
      <c r="G8" s="1867"/>
      <c r="H8" s="1707" t="s">
        <v>1443</v>
      </c>
    </row>
    <row r="9" spans="1:8" ht="36.75" customHeight="1">
      <c r="A9" s="2194" t="s">
        <v>1078</v>
      </c>
      <c r="B9" s="2194"/>
      <c r="C9" s="2194"/>
      <c r="D9" s="2194"/>
      <c r="E9" s="2194"/>
      <c r="F9" s="2194"/>
      <c r="G9" s="2194"/>
      <c r="H9" s="2194"/>
    </row>
    <row r="10" spans="2:8" ht="23.25" customHeight="1" thickBot="1">
      <c r="B10" s="2194" t="s">
        <v>1079</v>
      </c>
      <c r="C10" s="2194"/>
      <c r="D10" s="2194"/>
      <c r="E10" s="2194"/>
      <c r="F10" s="2194"/>
      <c r="G10" s="2194"/>
      <c r="H10" s="2194"/>
    </row>
    <row r="11" spans="1:8" ht="18" customHeight="1" thickBot="1">
      <c r="A11" s="2185" t="s">
        <v>171</v>
      </c>
      <c r="B11" s="2191"/>
      <c r="C11" s="2189" t="s">
        <v>1080</v>
      </c>
      <c r="D11" s="2190"/>
      <c r="E11" s="1868"/>
      <c r="F11" s="2185" t="s">
        <v>171</v>
      </c>
      <c r="G11" s="2187" t="s">
        <v>1080</v>
      </c>
      <c r="H11" s="2188"/>
    </row>
    <row r="12" spans="1:8" s="1720" customFormat="1" ht="18" customHeight="1" thickBot="1">
      <c r="A12" s="2186"/>
      <c r="B12" s="2192"/>
      <c r="C12" s="1869" t="s">
        <v>1081</v>
      </c>
      <c r="D12" s="1870" t="s">
        <v>1082</v>
      </c>
      <c r="E12" s="1871"/>
      <c r="F12" s="2186"/>
      <c r="G12" s="1869" t="s">
        <v>1081</v>
      </c>
      <c r="H12" s="1870" t="s">
        <v>1082</v>
      </c>
    </row>
    <row r="13" spans="1:8" s="1880" customFormat="1" ht="15.75" customHeight="1">
      <c r="A13" s="1872"/>
      <c r="B13" s="1874" t="s">
        <v>1083</v>
      </c>
      <c r="C13" s="1875">
        <v>24780</v>
      </c>
      <c r="D13" s="1876">
        <f aca="true" t="shared" si="0" ref="D13:D44">C13*98/100</f>
        <v>24284.4</v>
      </c>
      <c r="E13" s="1877">
        <v>21712</v>
      </c>
      <c r="F13" s="1878" t="s">
        <v>1084</v>
      </c>
      <c r="G13" s="1875">
        <v>146497</v>
      </c>
      <c r="H13" s="1879">
        <f aca="true" t="shared" si="1" ref="H13:H44">G13*98/100</f>
        <v>143567.06</v>
      </c>
    </row>
    <row r="14" spans="1:8" s="1880" customFormat="1" ht="15.75" customHeight="1">
      <c r="A14" s="1881"/>
      <c r="B14" s="1882" t="s">
        <v>1085</v>
      </c>
      <c r="C14" s="1883">
        <v>26904</v>
      </c>
      <c r="D14" s="1884">
        <f t="shared" si="0"/>
        <v>26365.92</v>
      </c>
      <c r="E14" s="1885">
        <v>16697</v>
      </c>
      <c r="F14" s="1886" t="s">
        <v>1086</v>
      </c>
      <c r="G14" s="1883">
        <v>158946</v>
      </c>
      <c r="H14" s="1887">
        <f t="shared" si="1"/>
        <v>155767.08</v>
      </c>
    </row>
    <row r="15" spans="1:8" s="1891" customFormat="1" ht="15.75" customHeight="1" thickBot="1">
      <c r="A15" s="1881"/>
      <c r="B15" s="1882" t="s">
        <v>1087</v>
      </c>
      <c r="C15" s="1883">
        <v>28910</v>
      </c>
      <c r="D15" s="1884">
        <f t="shared" si="0"/>
        <v>28331.8</v>
      </c>
      <c r="E15" s="1885">
        <v>16992</v>
      </c>
      <c r="F15" s="1888" t="s">
        <v>1088</v>
      </c>
      <c r="G15" s="1889">
        <v>177236</v>
      </c>
      <c r="H15" s="1890">
        <f t="shared" si="1"/>
        <v>173691.28</v>
      </c>
    </row>
    <row r="16" spans="1:8" s="1891" customFormat="1" ht="15.75" customHeight="1">
      <c r="A16" s="1881"/>
      <c r="B16" s="1882" t="s">
        <v>1089</v>
      </c>
      <c r="C16" s="1883">
        <v>32155</v>
      </c>
      <c r="D16" s="1884">
        <f t="shared" si="0"/>
        <v>31511.9</v>
      </c>
      <c r="E16" s="1885">
        <v>18054</v>
      </c>
      <c r="F16" s="1878" t="s">
        <v>1090</v>
      </c>
      <c r="G16" s="1875">
        <v>29913</v>
      </c>
      <c r="H16" s="1879">
        <f t="shared" si="1"/>
        <v>29314.74</v>
      </c>
    </row>
    <row r="17" spans="1:8" s="1891" customFormat="1" ht="15.75" customHeight="1">
      <c r="A17" s="1881"/>
      <c r="B17" s="1882" t="s">
        <v>1091</v>
      </c>
      <c r="C17" s="1883">
        <v>32509</v>
      </c>
      <c r="D17" s="1884">
        <f t="shared" si="0"/>
        <v>31858.82</v>
      </c>
      <c r="E17" s="1885">
        <v>18408</v>
      </c>
      <c r="F17" s="1886" t="s">
        <v>1092</v>
      </c>
      <c r="G17" s="1883">
        <v>32214</v>
      </c>
      <c r="H17" s="1887">
        <f t="shared" si="1"/>
        <v>31569.72</v>
      </c>
    </row>
    <row r="18" spans="1:8" s="1891" customFormat="1" ht="15.75" customHeight="1">
      <c r="A18" s="1881"/>
      <c r="B18" s="1882" t="s">
        <v>1093</v>
      </c>
      <c r="C18" s="1883">
        <v>24190</v>
      </c>
      <c r="D18" s="1884">
        <f t="shared" si="0"/>
        <v>23706.2</v>
      </c>
      <c r="E18" s="1885">
        <v>19529</v>
      </c>
      <c r="F18" s="1886" t="s">
        <v>1094</v>
      </c>
      <c r="G18" s="1883">
        <v>47731</v>
      </c>
      <c r="H18" s="1887">
        <f t="shared" si="1"/>
        <v>46776.38</v>
      </c>
    </row>
    <row r="19" spans="1:8" s="1891" customFormat="1" ht="15.75" customHeight="1">
      <c r="A19" s="1881"/>
      <c r="B19" s="1882" t="s">
        <v>1095</v>
      </c>
      <c r="C19" s="1883">
        <v>24780</v>
      </c>
      <c r="D19" s="1884">
        <f t="shared" si="0"/>
        <v>24284.4</v>
      </c>
      <c r="E19" s="1885">
        <v>20827</v>
      </c>
      <c r="F19" s="1886" t="s">
        <v>1096</v>
      </c>
      <c r="G19" s="1883">
        <v>49501</v>
      </c>
      <c r="H19" s="1887">
        <f t="shared" si="1"/>
        <v>48510.98</v>
      </c>
    </row>
    <row r="20" spans="1:8" s="1891" customFormat="1" ht="15.75" customHeight="1">
      <c r="A20" s="1881"/>
      <c r="B20" s="1882" t="s">
        <v>1097</v>
      </c>
      <c r="C20" s="1883">
        <v>26196</v>
      </c>
      <c r="D20" s="1884">
        <f t="shared" si="0"/>
        <v>25672.08</v>
      </c>
      <c r="E20" s="1885">
        <v>16697</v>
      </c>
      <c r="F20" s="1886" t="s">
        <v>1098</v>
      </c>
      <c r="G20" s="1883">
        <v>50681</v>
      </c>
      <c r="H20" s="1887">
        <f t="shared" si="1"/>
        <v>49667.38</v>
      </c>
    </row>
    <row r="21" spans="1:8" s="1891" customFormat="1" ht="15.75" customHeight="1">
      <c r="A21" s="1881"/>
      <c r="B21" s="1882" t="s">
        <v>1099</v>
      </c>
      <c r="C21" s="1883">
        <v>26904</v>
      </c>
      <c r="D21" s="1884">
        <f t="shared" si="0"/>
        <v>26365.92</v>
      </c>
      <c r="E21" s="1885">
        <v>17169</v>
      </c>
      <c r="F21" s="1886" t="s">
        <v>1100</v>
      </c>
      <c r="G21" s="1883">
        <v>52805</v>
      </c>
      <c r="H21" s="1887">
        <f t="shared" si="1"/>
        <v>51748.9</v>
      </c>
    </row>
    <row r="22" spans="1:8" s="1891" customFormat="1" ht="15.75" customHeight="1">
      <c r="A22" s="1881"/>
      <c r="B22" s="1882" t="s">
        <v>1101</v>
      </c>
      <c r="C22" s="1883">
        <v>28261</v>
      </c>
      <c r="D22" s="1884">
        <f t="shared" si="0"/>
        <v>27695.78</v>
      </c>
      <c r="E22" s="1885">
        <v>19116</v>
      </c>
      <c r="F22" s="1886" t="s">
        <v>1102</v>
      </c>
      <c r="G22" s="1883">
        <v>67378</v>
      </c>
      <c r="H22" s="1887">
        <f t="shared" si="1"/>
        <v>66030.44</v>
      </c>
    </row>
    <row r="23" spans="1:8" s="1891" customFormat="1" ht="15.75" customHeight="1">
      <c r="A23" s="1881"/>
      <c r="B23" s="1882" t="s">
        <v>1103</v>
      </c>
      <c r="C23" s="1883">
        <v>30031</v>
      </c>
      <c r="D23" s="1884">
        <f t="shared" si="0"/>
        <v>29430.38</v>
      </c>
      <c r="E23" s="1885">
        <v>21535</v>
      </c>
      <c r="F23" s="1886" t="s">
        <v>1104</v>
      </c>
      <c r="G23" s="1883">
        <v>70446</v>
      </c>
      <c r="H23" s="1887">
        <f t="shared" si="1"/>
        <v>69037.08</v>
      </c>
    </row>
    <row r="24" spans="1:8" s="1891" customFormat="1" ht="15.75" customHeight="1">
      <c r="A24" s="1881"/>
      <c r="B24" s="1882" t="s">
        <v>1105</v>
      </c>
      <c r="C24" s="1883">
        <v>30739</v>
      </c>
      <c r="D24" s="1884">
        <f t="shared" si="0"/>
        <v>30124.22</v>
      </c>
      <c r="E24" s="1885">
        <v>26255</v>
      </c>
      <c r="F24" s="1886" t="s">
        <v>1106</v>
      </c>
      <c r="G24" s="1883">
        <v>71154</v>
      </c>
      <c r="H24" s="1887">
        <f t="shared" si="1"/>
        <v>69730.92</v>
      </c>
    </row>
    <row r="25" spans="1:8" s="1891" customFormat="1" ht="15.75" customHeight="1" thickBot="1">
      <c r="A25" s="1892"/>
      <c r="B25" s="1893" t="s">
        <v>1107</v>
      </c>
      <c r="C25" s="1894">
        <v>31447</v>
      </c>
      <c r="D25" s="1895">
        <f t="shared" si="0"/>
        <v>30818.06</v>
      </c>
      <c r="E25" s="1885">
        <v>28379</v>
      </c>
      <c r="F25" s="1886" t="s">
        <v>1108</v>
      </c>
      <c r="G25" s="1883">
        <v>73986</v>
      </c>
      <c r="H25" s="1887">
        <f t="shared" si="1"/>
        <v>72506.28</v>
      </c>
    </row>
    <row r="26" spans="1:8" s="1891" customFormat="1" ht="15.75" customHeight="1">
      <c r="A26" s="1872"/>
      <c r="B26" s="1874" t="s">
        <v>1109</v>
      </c>
      <c r="C26" s="1875">
        <v>24190</v>
      </c>
      <c r="D26" s="1876">
        <f t="shared" si="0"/>
        <v>23706.2</v>
      </c>
      <c r="E26" s="1885">
        <v>21889</v>
      </c>
      <c r="F26" s="1886" t="s">
        <v>1110</v>
      </c>
      <c r="G26" s="1883">
        <v>85786</v>
      </c>
      <c r="H26" s="1887">
        <f t="shared" si="1"/>
        <v>84070.28</v>
      </c>
    </row>
    <row r="27" spans="1:8" s="1891" customFormat="1" ht="15.75" customHeight="1">
      <c r="A27" s="1881"/>
      <c r="B27" s="1882" t="s">
        <v>1111</v>
      </c>
      <c r="C27" s="1883">
        <v>25016</v>
      </c>
      <c r="D27" s="1884">
        <f t="shared" si="0"/>
        <v>24515.68</v>
      </c>
      <c r="E27" s="1885">
        <v>24190</v>
      </c>
      <c r="F27" s="1886" t="s">
        <v>1112</v>
      </c>
      <c r="G27" s="1883">
        <v>89916</v>
      </c>
      <c r="H27" s="1887">
        <f t="shared" si="1"/>
        <v>88117.68</v>
      </c>
    </row>
    <row r="28" spans="1:8" s="1891" customFormat="1" ht="15.75" customHeight="1" thickBot="1">
      <c r="A28" s="1881"/>
      <c r="B28" s="1882" t="s">
        <v>1113</v>
      </c>
      <c r="C28" s="1883">
        <v>27730</v>
      </c>
      <c r="D28" s="1884">
        <f t="shared" si="0"/>
        <v>27175.4</v>
      </c>
      <c r="E28" s="1885">
        <v>25488</v>
      </c>
      <c r="F28" s="1896" t="s">
        <v>1114</v>
      </c>
      <c r="G28" s="1894">
        <v>131806</v>
      </c>
      <c r="H28" s="1897">
        <f t="shared" si="1"/>
        <v>129169.88</v>
      </c>
    </row>
    <row r="29" spans="1:8" s="1891" customFormat="1" ht="15.75" customHeight="1">
      <c r="A29" s="1881"/>
      <c r="B29" s="1882" t="s">
        <v>1115</v>
      </c>
      <c r="C29" s="1883">
        <v>28674</v>
      </c>
      <c r="D29" s="1884">
        <f t="shared" si="0"/>
        <v>28100.52</v>
      </c>
      <c r="E29" s="1885">
        <v>27140</v>
      </c>
      <c r="F29" s="1878" t="s">
        <v>1116</v>
      </c>
      <c r="G29" s="1875">
        <v>61832</v>
      </c>
      <c r="H29" s="1879">
        <f t="shared" si="1"/>
        <v>60595.36</v>
      </c>
    </row>
    <row r="30" spans="1:8" s="1891" customFormat="1" ht="15.75" customHeight="1">
      <c r="A30" s="1881"/>
      <c r="B30" s="1882" t="s">
        <v>1117</v>
      </c>
      <c r="C30" s="1883">
        <v>31329</v>
      </c>
      <c r="D30" s="1884">
        <f t="shared" si="0"/>
        <v>30702.42</v>
      </c>
      <c r="E30" s="1885">
        <v>28379</v>
      </c>
      <c r="F30" s="1886" t="s">
        <v>1118</v>
      </c>
      <c r="G30" s="1883">
        <v>70800</v>
      </c>
      <c r="H30" s="1887">
        <f t="shared" si="1"/>
        <v>69384</v>
      </c>
    </row>
    <row r="31" spans="1:8" s="1891" customFormat="1" ht="15.75" customHeight="1">
      <c r="A31" s="1881"/>
      <c r="B31" s="1882" t="s">
        <v>1119</v>
      </c>
      <c r="C31" s="1883">
        <v>36285</v>
      </c>
      <c r="D31" s="1884">
        <f t="shared" si="0"/>
        <v>35559.3</v>
      </c>
      <c r="E31" s="1885">
        <v>26904</v>
      </c>
      <c r="F31" s="1886" t="s">
        <v>1120</v>
      </c>
      <c r="G31" s="1883">
        <v>90624</v>
      </c>
      <c r="H31" s="1887">
        <f t="shared" si="1"/>
        <v>88811.52</v>
      </c>
    </row>
    <row r="32" spans="1:8" s="1891" customFormat="1" ht="15.75" customHeight="1">
      <c r="A32" s="1881"/>
      <c r="B32" s="1882" t="s">
        <v>1121</v>
      </c>
      <c r="C32" s="1883">
        <v>38055</v>
      </c>
      <c r="D32" s="1884">
        <f t="shared" si="0"/>
        <v>37293.9</v>
      </c>
      <c r="E32" s="1885">
        <v>27317</v>
      </c>
      <c r="F32" s="1886" t="s">
        <v>1122</v>
      </c>
      <c r="G32" s="1883">
        <v>97527</v>
      </c>
      <c r="H32" s="1887">
        <f t="shared" si="1"/>
        <v>95576.46</v>
      </c>
    </row>
    <row r="33" spans="1:8" s="1891" customFormat="1" ht="15.75" customHeight="1" thickBot="1">
      <c r="A33" s="1881"/>
      <c r="B33" s="1882" t="s">
        <v>1123</v>
      </c>
      <c r="C33" s="1883">
        <v>41064</v>
      </c>
      <c r="D33" s="1884">
        <f t="shared" si="0"/>
        <v>40242.72</v>
      </c>
      <c r="E33" s="1885">
        <v>28733</v>
      </c>
      <c r="F33" s="1896" t="s">
        <v>1124</v>
      </c>
      <c r="G33" s="1894">
        <v>121127</v>
      </c>
      <c r="H33" s="1897">
        <f t="shared" si="1"/>
        <v>118704.46</v>
      </c>
    </row>
    <row r="34" spans="1:8" s="1891" customFormat="1" ht="15.75" customHeight="1">
      <c r="A34" s="1881"/>
      <c r="B34" s="1882" t="s">
        <v>1125</v>
      </c>
      <c r="C34" s="1883">
        <v>55224</v>
      </c>
      <c r="D34" s="1884">
        <f t="shared" si="0"/>
        <v>54119.52</v>
      </c>
      <c r="E34" s="1885">
        <v>26255</v>
      </c>
      <c r="F34" s="1898" t="s">
        <v>1126</v>
      </c>
      <c r="G34" s="1899">
        <v>61301</v>
      </c>
      <c r="H34" s="1900">
        <f t="shared" si="1"/>
        <v>60074.98</v>
      </c>
    </row>
    <row r="35" spans="1:8" s="1891" customFormat="1" ht="15.75" customHeight="1" thickBot="1">
      <c r="A35" s="1892"/>
      <c r="B35" s="1893" t="s">
        <v>1127</v>
      </c>
      <c r="C35" s="1894">
        <v>60593</v>
      </c>
      <c r="D35" s="1895">
        <f t="shared" si="0"/>
        <v>59381.14</v>
      </c>
      <c r="E35" s="1885">
        <v>28084</v>
      </c>
      <c r="F35" s="1886" t="s">
        <v>1128</v>
      </c>
      <c r="G35" s="1883">
        <v>67319</v>
      </c>
      <c r="H35" s="1887">
        <f t="shared" si="1"/>
        <v>65972.62</v>
      </c>
    </row>
    <row r="36" spans="1:8" s="1891" customFormat="1" ht="15.75" customHeight="1">
      <c r="A36" s="1872"/>
      <c r="B36" s="1874" t="s">
        <v>1129</v>
      </c>
      <c r="C36" s="1875">
        <v>30857</v>
      </c>
      <c r="D36" s="1876">
        <f t="shared" si="0"/>
        <v>30239.86</v>
      </c>
      <c r="E36" s="1885">
        <v>28497</v>
      </c>
      <c r="F36" s="1886" t="s">
        <v>1130</v>
      </c>
      <c r="G36" s="1883">
        <v>72865</v>
      </c>
      <c r="H36" s="1887">
        <f t="shared" si="1"/>
        <v>71407.7</v>
      </c>
    </row>
    <row r="37" spans="1:8" s="1891" customFormat="1" ht="15.75" customHeight="1">
      <c r="A37" s="1881"/>
      <c r="B37" s="1882" t="s">
        <v>1131</v>
      </c>
      <c r="C37" s="1883">
        <v>31801</v>
      </c>
      <c r="D37" s="1884">
        <f t="shared" si="0"/>
        <v>31164.98</v>
      </c>
      <c r="E37" s="1885">
        <v>33158</v>
      </c>
      <c r="F37" s="1886" t="s">
        <v>1132</v>
      </c>
      <c r="G37" s="1883">
        <v>88500</v>
      </c>
      <c r="H37" s="1887">
        <f t="shared" si="1"/>
        <v>86730</v>
      </c>
    </row>
    <row r="38" spans="1:8" s="1891" customFormat="1" ht="15.75" customHeight="1">
      <c r="A38" s="1881"/>
      <c r="B38" s="1882" t="s">
        <v>1133</v>
      </c>
      <c r="C38" s="1883">
        <v>35105</v>
      </c>
      <c r="D38" s="1884">
        <f t="shared" si="0"/>
        <v>34402.9</v>
      </c>
      <c r="E38" s="1885">
        <v>60357</v>
      </c>
      <c r="F38" s="1886" t="s">
        <v>1134</v>
      </c>
      <c r="G38" s="1883">
        <v>96347</v>
      </c>
      <c r="H38" s="1887">
        <f t="shared" si="1"/>
        <v>94420.06</v>
      </c>
    </row>
    <row r="39" spans="1:8" s="1891" customFormat="1" ht="15.75" customHeight="1">
      <c r="A39" s="1881"/>
      <c r="B39" s="1882" t="s">
        <v>1135</v>
      </c>
      <c r="C39" s="1883">
        <v>35931</v>
      </c>
      <c r="D39" s="1884">
        <f t="shared" si="0"/>
        <v>35212.38</v>
      </c>
      <c r="E39" s="1885">
        <v>33571</v>
      </c>
      <c r="F39" s="1886" t="s">
        <v>1136</v>
      </c>
      <c r="G39" s="1883">
        <v>139181</v>
      </c>
      <c r="H39" s="1887">
        <f t="shared" si="1"/>
        <v>136397.38</v>
      </c>
    </row>
    <row r="40" spans="1:8" s="1891" customFormat="1" ht="15.75" customHeight="1">
      <c r="A40" s="1881"/>
      <c r="B40" s="1882" t="s">
        <v>1137</v>
      </c>
      <c r="C40" s="1883">
        <v>36934</v>
      </c>
      <c r="D40" s="1884">
        <f t="shared" si="0"/>
        <v>36195.32</v>
      </c>
      <c r="E40" s="1885">
        <v>34869</v>
      </c>
      <c r="F40" s="1886" t="s">
        <v>1138</v>
      </c>
      <c r="G40" s="1883">
        <v>164551</v>
      </c>
      <c r="H40" s="1887">
        <f t="shared" si="1"/>
        <v>161259.98</v>
      </c>
    </row>
    <row r="41" spans="1:8" s="1891" customFormat="1" ht="15.75" customHeight="1">
      <c r="A41" s="1881"/>
      <c r="B41" s="1882" t="s">
        <v>1139</v>
      </c>
      <c r="C41" s="1883">
        <v>39353</v>
      </c>
      <c r="D41" s="1884">
        <f t="shared" si="0"/>
        <v>38565.94</v>
      </c>
      <c r="E41" s="1885">
        <v>35695</v>
      </c>
      <c r="F41" s="1886" t="s">
        <v>1140</v>
      </c>
      <c r="G41" s="1883">
        <v>199951</v>
      </c>
      <c r="H41" s="1887">
        <f t="shared" si="1"/>
        <v>195951.98</v>
      </c>
    </row>
    <row r="42" spans="1:8" s="1891" customFormat="1" ht="15.75" customHeight="1">
      <c r="A42" s="1881"/>
      <c r="B42" s="1882" t="s">
        <v>1141</v>
      </c>
      <c r="C42" s="1883">
        <v>42598</v>
      </c>
      <c r="D42" s="1884">
        <f t="shared" si="0"/>
        <v>41746.04</v>
      </c>
      <c r="E42" s="1885">
        <v>37288</v>
      </c>
      <c r="F42" s="1886" t="s">
        <v>1142</v>
      </c>
      <c r="G42" s="1883">
        <v>212813</v>
      </c>
      <c r="H42" s="1887">
        <f t="shared" si="1"/>
        <v>208556.74</v>
      </c>
    </row>
    <row r="43" spans="1:8" s="1891" customFormat="1" ht="15.75" customHeight="1" thickBot="1">
      <c r="A43" s="1892"/>
      <c r="B43" s="1893" t="s">
        <v>1143</v>
      </c>
      <c r="C43" s="1894">
        <v>51684</v>
      </c>
      <c r="D43" s="1895">
        <f t="shared" si="0"/>
        <v>50650.32</v>
      </c>
      <c r="E43" s="1885">
        <v>47554</v>
      </c>
      <c r="F43" s="1888" t="s">
        <v>1144</v>
      </c>
      <c r="G43" s="1889">
        <v>277595</v>
      </c>
      <c r="H43" s="1890">
        <f t="shared" si="1"/>
        <v>272043.1</v>
      </c>
    </row>
    <row r="44" spans="1:8" s="1891" customFormat="1" ht="15.75" customHeight="1" thickBot="1">
      <c r="A44" s="1872"/>
      <c r="B44" s="1874" t="s">
        <v>1145</v>
      </c>
      <c r="C44" s="1875">
        <v>35282</v>
      </c>
      <c r="D44" s="1876">
        <f t="shared" si="0"/>
        <v>34576.36</v>
      </c>
      <c r="E44" s="1885">
        <v>49737</v>
      </c>
      <c r="F44" s="1901" t="s">
        <v>1146</v>
      </c>
      <c r="G44" s="1902">
        <v>154580</v>
      </c>
      <c r="H44" s="1903">
        <f t="shared" si="1"/>
        <v>151488.4</v>
      </c>
    </row>
    <row r="45" spans="1:8" s="1891" customFormat="1" ht="15.75" customHeight="1">
      <c r="A45" s="1881"/>
      <c r="B45" s="1882" t="s">
        <v>1147</v>
      </c>
      <c r="C45" s="1883">
        <v>36049</v>
      </c>
      <c r="D45" s="1884">
        <f aca="true" t="shared" si="2" ref="D45:D72">C45*98/100</f>
        <v>35328.02</v>
      </c>
      <c r="E45" s="1885">
        <v>50268</v>
      </c>
      <c r="F45" s="1878" t="s">
        <v>1148</v>
      </c>
      <c r="G45" s="1875">
        <v>87969</v>
      </c>
      <c r="H45" s="1879">
        <f aca="true" t="shared" si="3" ref="H45:H73">G45*98/100</f>
        <v>86209.62</v>
      </c>
    </row>
    <row r="46" spans="1:8" s="1891" customFormat="1" ht="15.75" customHeight="1">
      <c r="A46" s="1881"/>
      <c r="B46" s="1882" t="s">
        <v>1149</v>
      </c>
      <c r="C46" s="1883">
        <v>36167</v>
      </c>
      <c r="D46" s="1884">
        <f t="shared" si="2"/>
        <v>35443.66</v>
      </c>
      <c r="E46" s="1885">
        <v>52215</v>
      </c>
      <c r="F46" s="1886" t="s">
        <v>1150</v>
      </c>
      <c r="G46" s="1883">
        <v>95993</v>
      </c>
      <c r="H46" s="1887">
        <f t="shared" si="3"/>
        <v>94073.14</v>
      </c>
    </row>
    <row r="47" spans="1:8" s="1891" customFormat="1" ht="15.75" customHeight="1">
      <c r="A47" s="1881"/>
      <c r="B47" s="1882" t="s">
        <v>1151</v>
      </c>
      <c r="C47" s="1883">
        <v>37111</v>
      </c>
      <c r="D47" s="1884">
        <f t="shared" si="2"/>
        <v>36368.78</v>
      </c>
      <c r="E47" s="1885">
        <v>60534</v>
      </c>
      <c r="F47" s="1886" t="s">
        <v>1152</v>
      </c>
      <c r="G47" s="1883">
        <v>119652</v>
      </c>
      <c r="H47" s="1887">
        <f t="shared" si="3"/>
        <v>117258.96</v>
      </c>
    </row>
    <row r="48" spans="1:8" s="1891" customFormat="1" ht="15.75" customHeight="1">
      <c r="A48" s="1881"/>
      <c r="B48" s="1882" t="s">
        <v>1153</v>
      </c>
      <c r="C48" s="1883">
        <v>37760</v>
      </c>
      <c r="D48" s="1884">
        <f t="shared" si="2"/>
        <v>37004.8</v>
      </c>
      <c r="E48" s="1885">
        <v>63543</v>
      </c>
      <c r="F48" s="1886" t="s">
        <v>1154</v>
      </c>
      <c r="G48" s="1883">
        <v>134461</v>
      </c>
      <c r="H48" s="1887">
        <f t="shared" si="3"/>
        <v>131771.78</v>
      </c>
    </row>
    <row r="49" spans="1:8" s="1891" customFormat="1" ht="15.75" customHeight="1">
      <c r="A49" s="1881"/>
      <c r="B49" s="1882" t="s">
        <v>1155</v>
      </c>
      <c r="C49" s="1883">
        <v>40415</v>
      </c>
      <c r="D49" s="1884">
        <f t="shared" si="2"/>
        <v>39606.7</v>
      </c>
      <c r="E49" s="1885">
        <v>49088</v>
      </c>
      <c r="F49" s="1886" t="s">
        <v>1156</v>
      </c>
      <c r="G49" s="1883">
        <v>145376</v>
      </c>
      <c r="H49" s="1887">
        <f t="shared" si="3"/>
        <v>142468.48</v>
      </c>
    </row>
    <row r="50" spans="1:8" s="1891" customFormat="1" ht="15.75" customHeight="1">
      <c r="A50" s="1881"/>
      <c r="B50" s="1882" t="s">
        <v>1157</v>
      </c>
      <c r="C50" s="1883">
        <v>41123</v>
      </c>
      <c r="D50" s="1884">
        <f t="shared" si="2"/>
        <v>40300.54</v>
      </c>
      <c r="E50" s="1885">
        <v>66316</v>
      </c>
      <c r="F50" s="1886" t="s">
        <v>1158</v>
      </c>
      <c r="G50" s="1883">
        <v>157117</v>
      </c>
      <c r="H50" s="1887">
        <f t="shared" si="3"/>
        <v>153974.66</v>
      </c>
    </row>
    <row r="51" spans="1:8" s="1891" customFormat="1" ht="15.75" customHeight="1" thickBot="1">
      <c r="A51" s="1892"/>
      <c r="B51" s="1893" t="s">
        <v>1159</v>
      </c>
      <c r="C51" s="1894">
        <v>45548</v>
      </c>
      <c r="D51" s="1895">
        <f t="shared" si="2"/>
        <v>44637.04</v>
      </c>
      <c r="E51" s="1885">
        <v>43188</v>
      </c>
      <c r="F51" s="1896" t="s">
        <v>1160</v>
      </c>
      <c r="G51" s="1894">
        <v>165318</v>
      </c>
      <c r="H51" s="1897">
        <f t="shared" si="3"/>
        <v>162011.64</v>
      </c>
    </row>
    <row r="52" spans="1:8" s="1891" customFormat="1" ht="15.75" customHeight="1">
      <c r="A52" s="1904"/>
      <c r="B52" s="1905" t="s">
        <v>1161</v>
      </c>
      <c r="C52" s="1899">
        <v>38881</v>
      </c>
      <c r="D52" s="1906">
        <f t="shared" si="2"/>
        <v>38103.38</v>
      </c>
      <c r="E52" s="1885">
        <v>51448</v>
      </c>
      <c r="F52" s="1878" t="s">
        <v>1162</v>
      </c>
      <c r="G52" s="1875">
        <v>94400</v>
      </c>
      <c r="H52" s="1879">
        <f t="shared" si="3"/>
        <v>92512</v>
      </c>
    </row>
    <row r="53" spans="1:8" s="1891" customFormat="1" ht="15.75" customHeight="1">
      <c r="A53" s="1881"/>
      <c r="B53" s="1882" t="s">
        <v>1163</v>
      </c>
      <c r="C53" s="1883">
        <v>40769</v>
      </c>
      <c r="D53" s="1884">
        <f t="shared" si="2"/>
        <v>39953.62</v>
      </c>
      <c r="E53" s="1885"/>
      <c r="F53" s="1886" t="s">
        <v>1164</v>
      </c>
      <c r="G53" s="1883">
        <v>96937</v>
      </c>
      <c r="H53" s="1887">
        <f t="shared" si="3"/>
        <v>94998.26</v>
      </c>
    </row>
    <row r="54" spans="1:8" s="1891" customFormat="1" ht="15.75" customHeight="1">
      <c r="A54" s="1881"/>
      <c r="B54" s="1882" t="s">
        <v>1165</v>
      </c>
      <c r="C54" s="1883">
        <v>49796</v>
      </c>
      <c r="D54" s="1884">
        <f t="shared" si="2"/>
        <v>48800.08</v>
      </c>
      <c r="E54" s="1885"/>
      <c r="F54" s="1886" t="s">
        <v>1166</v>
      </c>
      <c r="G54" s="1883">
        <v>102247</v>
      </c>
      <c r="H54" s="1887">
        <f t="shared" si="3"/>
        <v>100202.06</v>
      </c>
    </row>
    <row r="55" spans="1:8" s="1891" customFormat="1" ht="15.75" customHeight="1">
      <c r="A55" s="1881"/>
      <c r="B55" s="1882" t="s">
        <v>1167</v>
      </c>
      <c r="C55" s="1883">
        <v>56876</v>
      </c>
      <c r="D55" s="1884">
        <f t="shared" si="2"/>
        <v>55738.48</v>
      </c>
      <c r="E55" s="1885"/>
      <c r="F55" s="1886" t="s">
        <v>1168</v>
      </c>
      <c r="G55" s="1883">
        <v>128266</v>
      </c>
      <c r="H55" s="1887">
        <f t="shared" si="3"/>
        <v>125700.68</v>
      </c>
    </row>
    <row r="56" spans="1:8" s="1891" customFormat="1" ht="15.75" customHeight="1">
      <c r="A56" s="1881"/>
      <c r="B56" s="1882" t="s">
        <v>1169</v>
      </c>
      <c r="C56" s="1883">
        <v>65018</v>
      </c>
      <c r="D56" s="1884">
        <f t="shared" si="2"/>
        <v>63717.64</v>
      </c>
      <c r="E56" s="1885"/>
      <c r="F56" s="1886" t="s">
        <v>1170</v>
      </c>
      <c r="G56" s="1883">
        <v>134414</v>
      </c>
      <c r="H56" s="1887">
        <f t="shared" si="3"/>
        <v>131725.72</v>
      </c>
    </row>
    <row r="57" spans="1:8" s="1891" customFormat="1" ht="15.75" customHeight="1" thickBot="1">
      <c r="A57" s="1907"/>
      <c r="B57" s="1908" t="s">
        <v>1171</v>
      </c>
      <c r="C57" s="1889">
        <v>74694</v>
      </c>
      <c r="D57" s="1909">
        <f t="shared" si="2"/>
        <v>73200.12</v>
      </c>
      <c r="E57" s="1885"/>
      <c r="F57" s="1886" t="s">
        <v>1172</v>
      </c>
      <c r="G57" s="1883">
        <v>170215</v>
      </c>
      <c r="H57" s="1887">
        <f t="shared" si="3"/>
        <v>166810.7</v>
      </c>
    </row>
    <row r="58" spans="1:8" s="1891" customFormat="1" ht="15.75" customHeight="1" thickBot="1">
      <c r="A58" s="1872"/>
      <c r="B58" s="1910" t="s">
        <v>1173</v>
      </c>
      <c r="C58" s="1875">
        <v>36108</v>
      </c>
      <c r="D58" s="1876">
        <f t="shared" si="2"/>
        <v>35385.84</v>
      </c>
      <c r="E58" s="1885"/>
      <c r="F58" s="1896" t="s">
        <v>1174</v>
      </c>
      <c r="G58" s="1894">
        <v>199833</v>
      </c>
      <c r="H58" s="1897">
        <f t="shared" si="3"/>
        <v>195836.34</v>
      </c>
    </row>
    <row r="59" spans="1:8" s="1891" customFormat="1" ht="15.75" customHeight="1">
      <c r="A59" s="1881"/>
      <c r="B59" s="1911" t="s">
        <v>1175</v>
      </c>
      <c r="C59" s="1883">
        <v>38527</v>
      </c>
      <c r="D59" s="1884">
        <f t="shared" si="2"/>
        <v>37756.46</v>
      </c>
      <c r="E59" s="1885"/>
      <c r="F59" s="1878" t="s">
        <v>1176</v>
      </c>
      <c r="G59" s="1875">
        <v>107675</v>
      </c>
      <c r="H59" s="1879">
        <f t="shared" si="3"/>
        <v>105521.5</v>
      </c>
    </row>
    <row r="60" spans="1:8" s="1891" customFormat="1" ht="15.75" customHeight="1">
      <c r="A60" s="1881"/>
      <c r="B60" s="1911" t="s">
        <v>1177</v>
      </c>
      <c r="C60" s="1883">
        <v>37347</v>
      </c>
      <c r="D60" s="1884">
        <f t="shared" si="2"/>
        <v>36600.06</v>
      </c>
      <c r="E60" s="1885"/>
      <c r="F60" s="1886" t="s">
        <v>1178</v>
      </c>
      <c r="G60" s="1883">
        <v>147205</v>
      </c>
      <c r="H60" s="1887">
        <f t="shared" si="3"/>
        <v>144260.9</v>
      </c>
    </row>
    <row r="61" spans="1:8" s="1891" customFormat="1" ht="15.75" customHeight="1">
      <c r="A61" s="1881"/>
      <c r="B61" s="1911" t="s">
        <v>1179</v>
      </c>
      <c r="C61" s="1883">
        <v>39707</v>
      </c>
      <c r="D61" s="1884">
        <f t="shared" si="2"/>
        <v>38912.86</v>
      </c>
      <c r="E61" s="1885"/>
      <c r="F61" s="1886" t="s">
        <v>1180</v>
      </c>
      <c r="G61" s="1883">
        <v>197178</v>
      </c>
      <c r="H61" s="1887">
        <f t="shared" si="3"/>
        <v>193234.44</v>
      </c>
    </row>
    <row r="62" spans="1:8" s="1891" customFormat="1" ht="15.75" customHeight="1">
      <c r="A62" s="1881"/>
      <c r="B62" s="1911" t="s">
        <v>1181</v>
      </c>
      <c r="C62" s="1883">
        <v>39943</v>
      </c>
      <c r="D62" s="1884">
        <f t="shared" si="2"/>
        <v>39144.14</v>
      </c>
      <c r="E62" s="1885"/>
      <c r="F62" s="1886" t="s">
        <v>1182</v>
      </c>
      <c r="G62" s="1883">
        <v>330518</v>
      </c>
      <c r="H62" s="1887">
        <f t="shared" si="3"/>
        <v>323907.64</v>
      </c>
    </row>
    <row r="63" spans="1:8" s="1891" customFormat="1" ht="15.75" customHeight="1" thickBot="1">
      <c r="A63" s="1881"/>
      <c r="B63" s="1911" t="s">
        <v>1183</v>
      </c>
      <c r="C63" s="1883">
        <v>42893</v>
      </c>
      <c r="D63" s="1884">
        <f t="shared" si="2"/>
        <v>42035.14</v>
      </c>
      <c r="E63" s="1885"/>
      <c r="F63" s="1896" t="s">
        <v>1184</v>
      </c>
      <c r="G63" s="1894">
        <v>389636</v>
      </c>
      <c r="H63" s="1897">
        <f t="shared" si="3"/>
        <v>381843.28</v>
      </c>
    </row>
    <row r="64" spans="1:8" s="1891" customFormat="1" ht="15.75" customHeight="1">
      <c r="A64" s="1881"/>
      <c r="B64" s="1911" t="s">
        <v>1185</v>
      </c>
      <c r="C64" s="1883">
        <v>40415</v>
      </c>
      <c r="D64" s="1884">
        <f t="shared" si="2"/>
        <v>39606.7</v>
      </c>
      <c r="E64" s="1885"/>
      <c r="F64" s="1878" t="s">
        <v>1186</v>
      </c>
      <c r="G64" s="1875">
        <v>108501</v>
      </c>
      <c r="H64" s="1879">
        <f t="shared" si="3"/>
        <v>106330.98</v>
      </c>
    </row>
    <row r="65" spans="1:8" s="1891" customFormat="1" ht="15.75" customHeight="1">
      <c r="A65" s="1881"/>
      <c r="B65" s="1911" t="s">
        <v>1187</v>
      </c>
      <c r="C65" s="1883">
        <v>43247</v>
      </c>
      <c r="D65" s="1884">
        <f t="shared" si="2"/>
        <v>42382.06</v>
      </c>
      <c r="E65" s="1885"/>
      <c r="F65" s="1886" t="s">
        <v>1188</v>
      </c>
      <c r="G65" s="1883">
        <v>199833</v>
      </c>
      <c r="H65" s="1887">
        <f t="shared" si="3"/>
        <v>195836.34</v>
      </c>
    </row>
    <row r="66" spans="1:8" s="1891" customFormat="1" ht="15.75" customHeight="1">
      <c r="A66" s="1881"/>
      <c r="B66" s="1911" t="s">
        <v>1189</v>
      </c>
      <c r="C66" s="1883">
        <v>46964</v>
      </c>
      <c r="D66" s="1884">
        <f t="shared" si="2"/>
        <v>46024.72</v>
      </c>
      <c r="E66" s="1885"/>
      <c r="F66" s="1886" t="s">
        <v>1190</v>
      </c>
      <c r="G66" s="1883">
        <v>271164</v>
      </c>
      <c r="H66" s="1887">
        <f t="shared" si="3"/>
        <v>265740.72</v>
      </c>
    </row>
    <row r="67" spans="1:8" s="1891" customFormat="1" ht="15.75" customHeight="1" thickBot="1">
      <c r="A67" s="1881"/>
      <c r="B67" s="1911" t="s">
        <v>1191</v>
      </c>
      <c r="C67" s="1883">
        <v>49914</v>
      </c>
      <c r="D67" s="1884">
        <f t="shared" si="2"/>
        <v>48915.72</v>
      </c>
      <c r="E67" s="1885">
        <v>68086</v>
      </c>
      <c r="F67" s="1896" t="s">
        <v>1192</v>
      </c>
      <c r="G67" s="1894">
        <v>333586</v>
      </c>
      <c r="H67" s="1897">
        <f t="shared" si="3"/>
        <v>326914.28</v>
      </c>
    </row>
    <row r="68" spans="1:8" s="1891" customFormat="1" ht="15.75" customHeight="1">
      <c r="A68" s="1881"/>
      <c r="B68" s="1911" t="s">
        <v>1193</v>
      </c>
      <c r="C68" s="1883">
        <v>72924</v>
      </c>
      <c r="D68" s="1884">
        <f t="shared" si="2"/>
        <v>71465.52</v>
      </c>
      <c r="E68" s="1885">
        <v>67850</v>
      </c>
      <c r="F68" s="1878" t="s">
        <v>1194</v>
      </c>
      <c r="G68" s="1875">
        <v>88323</v>
      </c>
      <c r="H68" s="1879">
        <f t="shared" si="3"/>
        <v>86556.54</v>
      </c>
    </row>
    <row r="69" spans="1:8" s="1891" customFormat="1" ht="15.75" customHeight="1" thickBot="1">
      <c r="A69" s="1881"/>
      <c r="B69" s="1911" t="s">
        <v>1195</v>
      </c>
      <c r="C69" s="1883">
        <v>77585</v>
      </c>
      <c r="D69" s="1884">
        <f t="shared" si="2"/>
        <v>76033.3</v>
      </c>
      <c r="E69" s="1885">
        <v>87143</v>
      </c>
      <c r="F69" s="1896" t="s">
        <v>1196</v>
      </c>
      <c r="G69" s="1894">
        <v>132514</v>
      </c>
      <c r="H69" s="1897">
        <f t="shared" si="3"/>
        <v>129863.72</v>
      </c>
    </row>
    <row r="70" spans="1:8" s="1891" customFormat="1" ht="15.75" customHeight="1">
      <c r="A70" s="1881"/>
      <c r="B70" s="1911" t="s">
        <v>1197</v>
      </c>
      <c r="C70" s="1883">
        <v>87202</v>
      </c>
      <c r="D70" s="1884">
        <f t="shared" si="2"/>
        <v>85457.96</v>
      </c>
      <c r="E70" s="1912"/>
      <c r="F70" s="1898" t="s">
        <v>1198</v>
      </c>
      <c r="G70" s="1899">
        <v>132809</v>
      </c>
      <c r="H70" s="1900">
        <f t="shared" si="3"/>
        <v>130152.82</v>
      </c>
    </row>
    <row r="71" spans="1:8" s="1891" customFormat="1" ht="15.75" customHeight="1">
      <c r="A71" s="1881"/>
      <c r="B71" s="1911" t="s">
        <v>1199</v>
      </c>
      <c r="C71" s="1883">
        <v>92217</v>
      </c>
      <c r="D71" s="1884">
        <f t="shared" si="2"/>
        <v>90372.66</v>
      </c>
      <c r="E71" s="1912"/>
      <c r="F71" s="1886" t="s">
        <v>1200</v>
      </c>
      <c r="G71" s="1883">
        <v>236944</v>
      </c>
      <c r="H71" s="1887">
        <f t="shared" si="3"/>
        <v>232205.12</v>
      </c>
    </row>
    <row r="72" spans="1:8" s="1891" customFormat="1" ht="15.75" customHeight="1" thickBot="1">
      <c r="A72" s="1892"/>
      <c r="B72" s="1913" t="s">
        <v>1201</v>
      </c>
      <c r="C72" s="1894">
        <v>126732</v>
      </c>
      <c r="D72" s="1895">
        <f t="shared" si="2"/>
        <v>124197.36</v>
      </c>
      <c r="E72" s="1914"/>
      <c r="F72" s="1886" t="s">
        <v>1202</v>
      </c>
      <c r="G72" s="1883">
        <v>346743</v>
      </c>
      <c r="H72" s="1887">
        <f t="shared" si="3"/>
        <v>339808.14</v>
      </c>
    </row>
    <row r="73" spans="1:8" s="1920" customFormat="1" ht="18" customHeight="1" thickBot="1">
      <c r="A73" s="1915"/>
      <c r="B73" s="1916"/>
      <c r="C73" s="1917"/>
      <c r="D73" s="1918"/>
      <c r="E73" s="1912"/>
      <c r="F73" s="1896" t="s">
        <v>1223</v>
      </c>
      <c r="G73" s="1919">
        <v>409224</v>
      </c>
      <c r="H73" s="1897">
        <f t="shared" si="3"/>
        <v>401039.52</v>
      </c>
    </row>
    <row r="74" spans="1:8" s="1920" customFormat="1" ht="18" customHeight="1">
      <c r="A74" s="1915"/>
      <c r="B74" s="1921"/>
      <c r="C74" s="1922"/>
      <c r="D74" s="1923"/>
      <c r="E74" s="1924"/>
      <c r="F74" s="1925"/>
      <c r="G74" s="1925"/>
      <c r="H74" s="1925"/>
    </row>
    <row r="75" spans="1:8" s="1920" customFormat="1" ht="18" customHeight="1">
      <c r="A75" s="1915"/>
      <c r="B75" s="1921"/>
      <c r="C75" s="1922"/>
      <c r="D75" s="1923"/>
      <c r="E75" s="1924"/>
      <c r="F75" s="1925"/>
      <c r="G75" s="1925"/>
      <c r="H75" s="1925"/>
    </row>
    <row r="76" spans="1:8" s="1920" customFormat="1" ht="18" customHeight="1">
      <c r="A76" s="1915"/>
      <c r="B76" s="1921"/>
      <c r="C76" s="1926"/>
      <c r="D76" s="1923"/>
      <c r="E76" s="1924"/>
      <c r="F76" s="1925"/>
      <c r="G76" s="1925"/>
      <c r="H76" s="1925"/>
    </row>
    <row r="77" spans="1:8" s="1920" customFormat="1" ht="18" customHeight="1">
      <c r="A77" s="1915"/>
      <c r="B77" s="1921"/>
      <c r="C77" s="1926"/>
      <c r="D77" s="1923"/>
      <c r="E77" s="1924"/>
      <c r="F77" s="1925"/>
      <c r="G77" s="1925"/>
      <c r="H77" s="1925"/>
    </row>
    <row r="78" spans="1:8" s="1920" customFormat="1" ht="18" customHeight="1">
      <c r="A78" s="1915"/>
      <c r="B78" s="1921"/>
      <c r="C78" s="1926"/>
      <c r="D78" s="1923"/>
      <c r="E78" s="1924"/>
      <c r="F78" s="1925"/>
      <c r="G78" s="1925"/>
      <c r="H78" s="1925"/>
    </row>
    <row r="79" spans="1:8" s="1920" customFormat="1" ht="18" customHeight="1">
      <c r="A79" s="1915"/>
      <c r="B79" s="1921"/>
      <c r="C79" s="1926"/>
      <c r="D79" s="1923"/>
      <c r="E79" s="1924"/>
      <c r="F79" s="1925"/>
      <c r="G79" s="1925"/>
      <c r="H79" s="1925"/>
    </row>
    <row r="80" spans="1:8" s="1920" customFormat="1" ht="22.5" customHeight="1">
      <c r="A80" s="1927"/>
      <c r="B80" s="1927"/>
      <c r="C80" s="1927"/>
      <c r="D80" s="1927"/>
      <c r="E80" s="1927"/>
      <c r="F80" s="1927"/>
      <c r="G80" s="1927"/>
      <c r="H80" s="1927"/>
    </row>
    <row r="81" spans="1:8" s="1920" customFormat="1" ht="22.5" customHeight="1">
      <c r="A81" s="2183"/>
      <c r="B81" s="2183"/>
      <c r="C81" s="2183"/>
      <c r="D81" s="2183"/>
      <c r="E81" s="2183"/>
      <c r="F81" s="2183"/>
      <c r="G81" s="2183"/>
      <c r="H81" s="2183"/>
    </row>
    <row r="82" spans="1:8" s="1920" customFormat="1" ht="18" customHeight="1">
      <c r="A82" s="1915"/>
      <c r="B82" s="1928"/>
      <c r="C82" s="1929"/>
      <c r="D82" s="1929"/>
      <c r="E82" s="1930"/>
      <c r="F82" s="2184"/>
      <c r="G82" s="2184"/>
      <c r="H82" s="2184"/>
    </row>
    <row r="83" spans="1:8" s="1920" customFormat="1" ht="18" customHeight="1">
      <c r="A83" s="1915"/>
      <c r="B83" s="1928"/>
      <c r="C83" s="1929"/>
      <c r="D83" s="1929"/>
      <c r="E83" s="1930"/>
      <c r="F83" s="2184"/>
      <c r="G83" s="2184"/>
      <c r="H83" s="2184"/>
    </row>
    <row r="84" spans="1:8" s="1920" customFormat="1" ht="18" customHeight="1">
      <c r="A84" s="1915"/>
      <c r="B84" s="1928"/>
      <c r="C84" s="1929"/>
      <c r="D84" s="1929"/>
      <c r="E84" s="1930"/>
      <c r="F84" s="2184"/>
      <c r="G84" s="2184"/>
      <c r="H84" s="2184"/>
    </row>
    <row r="85" spans="1:8" s="1920" customFormat="1" ht="18" customHeight="1">
      <c r="A85" s="1915"/>
      <c r="B85" s="1928"/>
      <c r="C85" s="1929"/>
      <c r="D85" s="1929"/>
      <c r="E85" s="1930"/>
      <c r="F85" s="2184"/>
      <c r="G85" s="2184"/>
      <c r="H85" s="2184"/>
    </row>
    <row r="86" spans="1:8" s="1920" customFormat="1" ht="18" customHeight="1">
      <c r="A86" s="1915"/>
      <c r="B86" s="1928"/>
      <c r="C86" s="1929"/>
      <c r="D86" s="1929"/>
      <c r="E86" s="1930"/>
      <c r="F86" s="2184"/>
      <c r="G86" s="2184"/>
      <c r="H86" s="2184"/>
    </row>
    <row r="87" spans="1:8" s="1920" customFormat="1" ht="18" customHeight="1">
      <c r="A87" s="1915"/>
      <c r="B87" s="1928"/>
      <c r="C87" s="1929"/>
      <c r="D87" s="1929"/>
      <c r="E87" s="1930"/>
      <c r="F87" s="2184"/>
      <c r="G87" s="2184"/>
      <c r="H87" s="2184"/>
    </row>
    <row r="88" spans="1:8" s="1920" customFormat="1" ht="18" customHeight="1">
      <c r="A88" s="1915"/>
      <c r="B88" s="1928"/>
      <c r="C88" s="1929"/>
      <c r="D88" s="1929"/>
      <c r="E88" s="1930"/>
      <c r="F88" s="2184"/>
      <c r="G88" s="2184"/>
      <c r="H88" s="2184"/>
    </row>
    <row r="89" spans="1:8" s="1920" customFormat="1" ht="18" customHeight="1">
      <c r="A89" s="1915"/>
      <c r="B89" s="1928"/>
      <c r="C89" s="1929"/>
      <c r="D89" s="1931"/>
      <c r="E89" s="1930"/>
      <c r="F89" s="2184"/>
      <c r="G89" s="2184"/>
      <c r="H89" s="2184"/>
    </row>
    <row r="90" spans="1:8" s="1920" customFormat="1" ht="18" customHeight="1">
      <c r="A90" s="1915"/>
      <c r="B90" s="1928"/>
      <c r="C90" s="1929"/>
      <c r="D90" s="1931"/>
      <c r="E90" s="1930"/>
      <c r="F90" s="2184"/>
      <c r="G90" s="2184"/>
      <c r="H90" s="2184"/>
    </row>
    <row r="91" spans="1:8" s="1920" customFormat="1" ht="18" customHeight="1">
      <c r="A91" s="1915"/>
      <c r="B91" s="1928"/>
      <c r="C91" s="1929"/>
      <c r="D91" s="1931"/>
      <c r="E91" s="1930"/>
      <c r="F91" s="2184"/>
      <c r="G91" s="2184"/>
      <c r="H91" s="2184"/>
    </row>
    <row r="92" spans="1:8" s="1920" customFormat="1" ht="18" customHeight="1">
      <c r="A92" s="1915"/>
      <c r="B92" s="1928"/>
      <c r="C92" s="1929"/>
      <c r="D92" s="1931"/>
      <c r="E92" s="1930"/>
      <c r="F92" s="2184"/>
      <c r="G92" s="2184"/>
      <c r="H92" s="2184"/>
    </row>
    <row r="93" spans="1:8" s="1920" customFormat="1" ht="18" customHeight="1">
      <c r="A93" s="1915"/>
      <c r="B93" s="1928"/>
      <c r="C93" s="1929"/>
      <c r="D93" s="1931"/>
      <c r="E93" s="1930"/>
      <c r="F93" s="2184"/>
      <c r="G93" s="2184"/>
      <c r="H93" s="2184"/>
    </row>
    <row r="94" spans="1:8" s="1920" customFormat="1" ht="18" customHeight="1">
      <c r="A94" s="1915"/>
      <c r="B94" s="1928"/>
      <c r="C94" s="1929"/>
      <c r="D94" s="1931"/>
      <c r="E94" s="1930"/>
      <c r="F94" s="2184"/>
      <c r="G94" s="2184"/>
      <c r="H94" s="2184"/>
    </row>
    <row r="95" spans="1:8" s="1920" customFormat="1" ht="18" customHeight="1">
      <c r="A95" s="1915"/>
      <c r="B95" s="1928"/>
      <c r="C95" s="1929"/>
      <c r="D95" s="1931"/>
      <c r="E95" s="1930"/>
      <c r="F95" s="2184"/>
      <c r="G95" s="2184"/>
      <c r="H95" s="2184"/>
    </row>
    <row r="96" spans="1:8" s="1920" customFormat="1" ht="30" customHeight="1">
      <c r="A96" s="1915"/>
      <c r="B96" s="1932"/>
      <c r="C96" s="1922"/>
      <c r="D96" s="1923"/>
      <c r="E96" s="1924"/>
      <c r="F96" s="1925"/>
      <c r="G96" s="1925"/>
      <c r="H96" s="1925"/>
    </row>
    <row r="97" spans="1:8" s="1920" customFormat="1" ht="30" customHeight="1">
      <c r="A97" s="1915"/>
      <c r="B97" s="1932"/>
      <c r="C97" s="1922"/>
      <c r="D97" s="1923"/>
      <c r="E97" s="1924"/>
      <c r="F97" s="1925"/>
      <c r="G97" s="1925"/>
      <c r="H97" s="1925"/>
    </row>
    <row r="98" spans="1:8" s="1920" customFormat="1" ht="30" customHeight="1">
      <c r="A98" s="1915"/>
      <c r="B98" s="1932"/>
      <c r="C98" s="1926"/>
      <c r="D98" s="1923"/>
      <c r="E98" s="1924"/>
      <c r="F98" s="1925"/>
      <c r="G98" s="1925"/>
      <c r="H98" s="1925"/>
    </row>
    <row r="99" spans="1:8" s="1920" customFormat="1" ht="30" customHeight="1">
      <c r="A99" s="1915"/>
      <c r="B99" s="1932"/>
      <c r="C99" s="1926"/>
      <c r="D99" s="1923"/>
      <c r="E99" s="1924"/>
      <c r="F99" s="1925"/>
      <c r="G99" s="1925"/>
      <c r="H99" s="1925"/>
    </row>
    <row r="100" spans="1:8" s="1920" customFormat="1" ht="30" customHeight="1">
      <c r="A100" s="1915"/>
      <c r="B100" s="1932"/>
      <c r="C100" s="1922"/>
      <c r="D100" s="1923"/>
      <c r="E100" s="1924"/>
      <c r="F100" s="1925"/>
      <c r="G100" s="1925"/>
      <c r="H100" s="1925"/>
    </row>
    <row r="101" spans="1:8" s="1920" customFormat="1" ht="30" customHeight="1">
      <c r="A101" s="1915"/>
      <c r="B101" s="1932"/>
      <c r="C101" s="1922"/>
      <c r="D101" s="1923"/>
      <c r="E101" s="1924"/>
      <c r="F101" s="1925"/>
      <c r="G101" s="1925"/>
      <c r="H101" s="1925"/>
    </row>
    <row r="102" spans="1:8" s="1920" customFormat="1" ht="30" customHeight="1">
      <c r="A102" s="1915"/>
      <c r="B102" s="1932"/>
      <c r="C102" s="1926"/>
      <c r="D102" s="1923"/>
      <c r="E102" s="1924"/>
      <c r="F102" s="1925"/>
      <c r="G102" s="1925"/>
      <c r="H102" s="1925"/>
    </row>
    <row r="103" spans="1:8" s="1920" customFormat="1" ht="30" customHeight="1">
      <c r="A103" s="1915"/>
      <c r="B103" s="1932"/>
      <c r="C103" s="1926"/>
      <c r="D103" s="1923"/>
      <c r="E103" s="1924"/>
      <c r="F103" s="1925"/>
      <c r="G103" s="1925"/>
      <c r="H103" s="1925"/>
    </row>
    <row r="104" spans="1:8" s="1920" customFormat="1" ht="30" customHeight="1">
      <c r="A104" s="1915"/>
      <c r="B104" s="1932"/>
      <c r="C104" s="1926"/>
      <c r="D104" s="1923"/>
      <c r="E104" s="1924"/>
      <c r="F104" s="1925"/>
      <c r="G104" s="1925"/>
      <c r="H104" s="1925"/>
    </row>
    <row r="105" spans="1:8" s="1920" customFormat="1" ht="30" customHeight="1">
      <c r="A105" s="1915"/>
      <c r="B105" s="1932"/>
      <c r="C105" s="1926"/>
      <c r="D105" s="1923"/>
      <c r="E105" s="1924"/>
      <c r="F105" s="1925"/>
      <c r="G105" s="1925"/>
      <c r="H105" s="1925"/>
    </row>
    <row r="106" spans="2:8" s="1920" customFormat="1" ht="30" customHeight="1">
      <c r="B106" s="1933"/>
      <c r="C106" s="1933"/>
      <c r="D106" s="1854"/>
      <c r="E106" s="1854"/>
      <c r="F106" s="1934"/>
      <c r="G106" s="1934"/>
      <c r="H106" s="1934"/>
    </row>
    <row r="107" spans="2:8" s="1920" customFormat="1" ht="30" customHeight="1">
      <c r="B107" s="1933"/>
      <c r="C107" s="1933"/>
      <c r="D107" s="1854"/>
      <c r="E107" s="1854"/>
      <c r="F107" s="1934"/>
      <c r="G107" s="1934"/>
      <c r="H107" s="1934"/>
    </row>
    <row r="108" spans="2:8" s="1920" customFormat="1" ht="30" customHeight="1">
      <c r="B108" s="1933"/>
      <c r="C108" s="1933"/>
      <c r="D108" s="1854"/>
      <c r="E108" s="1854"/>
      <c r="F108" s="1934"/>
      <c r="G108" s="1934"/>
      <c r="H108" s="1934"/>
    </row>
    <row r="109" spans="2:8" s="1920" customFormat="1" ht="30" customHeight="1">
      <c r="B109" s="1933"/>
      <c r="C109" s="1933"/>
      <c r="D109" s="1854"/>
      <c r="E109" s="1854"/>
      <c r="F109" s="1934"/>
      <c r="G109" s="1934"/>
      <c r="H109" s="1934"/>
    </row>
    <row r="110" spans="2:8" s="1920" customFormat="1" ht="30" customHeight="1">
      <c r="B110" s="1933"/>
      <c r="C110" s="1933"/>
      <c r="D110" s="1854"/>
      <c r="E110" s="1854"/>
      <c r="F110" s="1934"/>
      <c r="G110" s="1934"/>
      <c r="H110" s="1934"/>
    </row>
    <row r="111" spans="2:8" s="1920" customFormat="1" ht="30" customHeight="1">
      <c r="B111" s="1933"/>
      <c r="C111" s="1933"/>
      <c r="D111" s="1854"/>
      <c r="E111" s="1854"/>
      <c r="F111" s="1934"/>
      <c r="G111" s="1934"/>
      <c r="H111" s="1934"/>
    </row>
    <row r="112" spans="2:8" s="1920" customFormat="1" ht="30" customHeight="1">
      <c r="B112" s="1933"/>
      <c r="C112" s="1933"/>
      <c r="D112" s="1854"/>
      <c r="E112" s="1854"/>
      <c r="F112" s="1934"/>
      <c r="G112" s="1934"/>
      <c r="H112" s="1934"/>
    </row>
    <row r="113" spans="2:8" s="1920" customFormat="1" ht="30" customHeight="1">
      <c r="B113" s="1933"/>
      <c r="C113" s="1933"/>
      <c r="D113" s="1854"/>
      <c r="E113" s="1854"/>
      <c r="F113" s="1934"/>
      <c r="G113" s="1934"/>
      <c r="H113" s="1934"/>
    </row>
    <row r="114" spans="2:8" s="1920" customFormat="1" ht="30" customHeight="1">
      <c r="B114" s="1933"/>
      <c r="C114" s="1933"/>
      <c r="D114" s="1854"/>
      <c r="E114" s="1854"/>
      <c r="F114" s="1933"/>
      <c r="G114" s="1933"/>
      <c r="H114" s="1933"/>
    </row>
    <row r="115" spans="2:8" s="1920" customFormat="1" ht="30" customHeight="1">
      <c r="B115" s="1933"/>
      <c r="C115" s="1933"/>
      <c r="D115" s="1854"/>
      <c r="E115" s="1854"/>
      <c r="F115" s="1933"/>
      <c r="G115" s="1933"/>
      <c r="H115" s="1933"/>
    </row>
    <row r="116" spans="2:8" s="1920" customFormat="1" ht="30" customHeight="1">
      <c r="B116" s="1933"/>
      <c r="C116" s="1933"/>
      <c r="D116" s="1854"/>
      <c r="E116" s="1854"/>
      <c r="F116" s="1933"/>
      <c r="G116" s="1933"/>
      <c r="H116" s="1933"/>
    </row>
    <row r="117" spans="2:8" s="1920" customFormat="1" ht="30" customHeight="1">
      <c r="B117" s="1933"/>
      <c r="C117" s="1933"/>
      <c r="D117" s="1854"/>
      <c r="E117" s="1854"/>
      <c r="F117" s="1933"/>
      <c r="G117" s="1933"/>
      <c r="H117" s="1933"/>
    </row>
    <row r="118" spans="2:8" s="1920" customFormat="1" ht="30" customHeight="1">
      <c r="B118" s="1933"/>
      <c r="C118" s="1933"/>
      <c r="D118" s="1854"/>
      <c r="E118" s="1854"/>
      <c r="F118" s="1933"/>
      <c r="G118" s="1933"/>
      <c r="H118" s="1933"/>
    </row>
    <row r="119" spans="2:8" s="1920" customFormat="1" ht="30" customHeight="1">
      <c r="B119" s="1933"/>
      <c r="C119" s="1933"/>
      <c r="D119" s="1854"/>
      <c r="E119" s="1854"/>
      <c r="F119" s="1933"/>
      <c r="G119" s="1933"/>
      <c r="H119" s="1933"/>
    </row>
    <row r="120" spans="2:8" s="1920" customFormat="1" ht="30" customHeight="1">
      <c r="B120" s="1933"/>
      <c r="C120" s="1933"/>
      <c r="D120" s="1854"/>
      <c r="E120" s="1854"/>
      <c r="F120" s="1933"/>
      <c r="G120" s="1933"/>
      <c r="H120" s="1933"/>
    </row>
    <row r="121" spans="2:8" s="1920" customFormat="1" ht="30" customHeight="1">
      <c r="B121" s="1933"/>
      <c r="C121" s="1933"/>
      <c r="D121" s="1854"/>
      <c r="E121" s="1854"/>
      <c r="F121" s="1933"/>
      <c r="G121" s="1933"/>
      <c r="H121" s="1933"/>
    </row>
    <row r="122" spans="2:8" s="1920" customFormat="1" ht="30" customHeight="1">
      <c r="B122" s="1933"/>
      <c r="C122" s="1933"/>
      <c r="D122" s="1854"/>
      <c r="E122" s="1854"/>
      <c r="F122" s="1933"/>
      <c r="G122" s="1933"/>
      <c r="H122" s="1933"/>
    </row>
    <row r="123" spans="2:8" s="1920" customFormat="1" ht="30" customHeight="1">
      <c r="B123" s="1933"/>
      <c r="C123" s="1933"/>
      <c r="D123" s="1854"/>
      <c r="E123" s="1854"/>
      <c r="F123" s="1933"/>
      <c r="G123" s="1933"/>
      <c r="H123" s="1933"/>
    </row>
    <row r="124" spans="2:8" s="1920" customFormat="1" ht="30" customHeight="1">
      <c r="B124" s="1933"/>
      <c r="C124" s="1933"/>
      <c r="D124" s="1854"/>
      <c r="E124" s="1854"/>
      <c r="F124" s="1933"/>
      <c r="G124" s="1933"/>
      <c r="H124" s="1933"/>
    </row>
    <row r="125" spans="2:8" s="1920" customFormat="1" ht="30" customHeight="1">
      <c r="B125" s="1933"/>
      <c r="C125" s="1933"/>
      <c r="D125" s="1854"/>
      <c r="E125" s="1854"/>
      <c r="F125" s="1933"/>
      <c r="G125" s="1933"/>
      <c r="H125" s="1933"/>
    </row>
    <row r="126" spans="2:8" s="1920" customFormat="1" ht="30" customHeight="1">
      <c r="B126" s="1933"/>
      <c r="C126" s="1933"/>
      <c r="D126" s="1854"/>
      <c r="E126" s="1854"/>
      <c r="F126" s="1933"/>
      <c r="G126" s="1933"/>
      <c r="H126" s="1933"/>
    </row>
    <row r="127" spans="2:8" s="1920" customFormat="1" ht="30" customHeight="1">
      <c r="B127" s="1933"/>
      <c r="C127" s="1933"/>
      <c r="D127" s="1854"/>
      <c r="E127" s="1854"/>
      <c r="F127" s="1933"/>
      <c r="G127" s="1933"/>
      <c r="H127" s="1933"/>
    </row>
    <row r="128" spans="2:8" s="1920" customFormat="1" ht="30" customHeight="1">
      <c r="B128" s="1933"/>
      <c r="C128" s="1933"/>
      <c r="D128" s="1854"/>
      <c r="E128" s="1854"/>
      <c r="F128" s="1933"/>
      <c r="G128" s="1933"/>
      <c r="H128" s="1933"/>
    </row>
    <row r="129" spans="2:8" s="1920" customFormat="1" ht="30" customHeight="1">
      <c r="B129" s="1933"/>
      <c r="C129" s="1933"/>
      <c r="D129" s="1854"/>
      <c r="E129" s="1854"/>
      <c r="F129" s="1933"/>
      <c r="G129" s="1933"/>
      <c r="H129" s="1933"/>
    </row>
    <row r="130" spans="2:8" s="1920" customFormat="1" ht="30" customHeight="1">
      <c r="B130" s="1933"/>
      <c r="C130" s="1933"/>
      <c r="D130" s="1854"/>
      <c r="E130" s="1854"/>
      <c r="F130" s="1933"/>
      <c r="G130" s="1933"/>
      <c r="H130" s="1933"/>
    </row>
    <row r="131" spans="2:8" s="1920" customFormat="1" ht="30" customHeight="1">
      <c r="B131" s="1933"/>
      <c r="C131" s="1933"/>
      <c r="D131" s="1854"/>
      <c r="E131" s="1854"/>
      <c r="F131" s="1933"/>
      <c r="G131" s="1933"/>
      <c r="H131" s="1933"/>
    </row>
    <row r="132" spans="2:8" s="1920" customFormat="1" ht="30" customHeight="1">
      <c r="B132" s="1933"/>
      <c r="C132" s="1933"/>
      <c r="D132" s="1854"/>
      <c r="E132" s="1854"/>
      <c r="F132" s="1933"/>
      <c r="G132" s="1933"/>
      <c r="H132" s="1933"/>
    </row>
  </sheetData>
  <sheetProtection/>
  <mergeCells count="16">
    <mergeCell ref="B1:C1"/>
    <mergeCell ref="B10:H10"/>
    <mergeCell ref="B2:H2"/>
    <mergeCell ref="B3:H3"/>
    <mergeCell ref="B4:H4"/>
    <mergeCell ref="F6:H6"/>
    <mergeCell ref="A6:D6"/>
    <mergeCell ref="A5:D5"/>
    <mergeCell ref="A7:D7"/>
    <mergeCell ref="A9:H9"/>
    <mergeCell ref="A81:H81"/>
    <mergeCell ref="F82:H95"/>
    <mergeCell ref="F11:F12"/>
    <mergeCell ref="G11:H11"/>
    <mergeCell ref="C11:D11"/>
    <mergeCell ref="A11:B12"/>
  </mergeCells>
  <hyperlinks>
    <hyperlink ref="A7" r:id="rId1" display="http://gidrouzel.3dn.ru"/>
  </hyperlinks>
  <printOptions horizontalCentered="1" verticalCentered="1"/>
  <pageMargins left="0" right="0" top="0" bottom="0" header="0" footer="0"/>
  <pageSetup horizontalDpi="600" verticalDpi="600" orientation="portrait" paperSize="9" scale="68" r:id="rId4"/>
  <legacyDrawing r:id="rId3"/>
  <oleObjects>
    <oleObject progId="Word.Picture.8" shapeId="7700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78" zoomScaleSheetLayoutView="78" workbookViewId="0" topLeftCell="A109">
      <selection activeCell="A122" sqref="A122:I122"/>
    </sheetView>
  </sheetViews>
  <sheetFormatPr defaultColWidth="9.00390625" defaultRowHeight="12.75"/>
  <cols>
    <col min="1" max="1" width="13.875" style="1938" customWidth="1"/>
    <col min="2" max="2" width="20.125" style="1938" customWidth="1"/>
    <col min="3" max="3" width="11.25390625" style="1938" customWidth="1"/>
    <col min="4" max="4" width="20.00390625" style="1938" customWidth="1"/>
    <col min="5" max="5" width="13.25390625" style="1938" customWidth="1"/>
    <col min="6" max="6" width="26.375" style="1938" customWidth="1"/>
    <col min="7" max="7" width="15.375" style="1938" customWidth="1"/>
    <col min="8" max="8" width="27.875" style="1938" customWidth="1"/>
    <col min="9" max="9" width="15.875" style="1938" customWidth="1"/>
    <col min="10" max="10" width="9.125" style="1936" customWidth="1"/>
    <col min="11" max="11" width="12.00390625" style="1936" customWidth="1"/>
    <col min="12" max="12" width="12.875" style="1936" customWidth="1"/>
    <col min="13" max="13" width="17.25390625" style="1936" customWidth="1"/>
    <col min="14" max="14" width="0.12890625" style="1938" customWidth="1"/>
    <col min="15" max="16" width="9.125" style="1938" hidden="1" customWidth="1"/>
    <col min="17" max="16384" width="9.125" style="1938" customWidth="1"/>
  </cols>
  <sheetData>
    <row r="1" spans="1:16" ht="20.25">
      <c r="A1" s="1608" t="s">
        <v>114</v>
      </c>
      <c r="B1" s="1608"/>
      <c r="C1" s="1608"/>
      <c r="D1" s="1608"/>
      <c r="E1" s="1608"/>
      <c r="F1" s="1608"/>
      <c r="G1" s="1608"/>
      <c r="H1" s="1608"/>
      <c r="I1" s="1608"/>
      <c r="J1" s="1935"/>
      <c r="L1" s="1937"/>
      <c r="O1" s="24"/>
      <c r="P1" s="1939"/>
    </row>
    <row r="2" spans="1:13" s="1944" customFormat="1" ht="23.25">
      <c r="A2" s="1608" t="s">
        <v>336</v>
      </c>
      <c r="B2" s="1608"/>
      <c r="C2" s="1608"/>
      <c r="D2" s="1608"/>
      <c r="E2" s="1608"/>
      <c r="F2" s="1608"/>
      <c r="G2" s="1608"/>
      <c r="H2" s="1608"/>
      <c r="I2" s="1608"/>
      <c r="J2" s="1940"/>
      <c r="K2" s="1941"/>
      <c r="L2" s="1942"/>
      <c r="M2" s="1943"/>
    </row>
    <row r="3" spans="1:13" s="1947" customFormat="1" ht="21.75" customHeight="1">
      <c r="A3" s="1608" t="s">
        <v>1224</v>
      </c>
      <c r="B3" s="1608"/>
      <c r="C3" s="1608"/>
      <c r="D3" s="1608"/>
      <c r="E3" s="1608"/>
      <c r="F3" s="1608"/>
      <c r="G3" s="1608"/>
      <c r="H3" s="1608"/>
      <c r="I3" s="1608"/>
      <c r="J3" s="1945"/>
      <c r="K3" s="1946"/>
      <c r="L3" s="1946"/>
      <c r="M3" s="1946"/>
    </row>
    <row r="4" spans="1:13" s="1947" customFormat="1" ht="30" customHeight="1">
      <c r="A4" s="1948" t="s">
        <v>1225</v>
      </c>
      <c r="B4" s="1949"/>
      <c r="C4" s="1949"/>
      <c r="D4" s="1949"/>
      <c r="E4" s="1949"/>
      <c r="F4" s="1949"/>
      <c r="G4" s="1949"/>
      <c r="H4" s="1950" t="s">
        <v>149</v>
      </c>
      <c r="I4" s="1949"/>
      <c r="J4" s="1946"/>
      <c r="K4" s="1946"/>
      <c r="L4" s="1946"/>
      <c r="M4" s="1946"/>
    </row>
    <row r="5" spans="1:13" s="1955" customFormat="1" ht="18.75" customHeight="1">
      <c r="A5" s="1951" t="s">
        <v>961</v>
      </c>
      <c r="B5" s="1952"/>
      <c r="C5" s="1952"/>
      <c r="D5" s="1952"/>
      <c r="E5" s="1952"/>
      <c r="F5" s="1952"/>
      <c r="G5" s="1951" t="s">
        <v>962</v>
      </c>
      <c r="H5" s="1952"/>
      <c r="I5" s="1952"/>
      <c r="J5" s="1532"/>
      <c r="K5" s="1532"/>
      <c r="L5" s="1953"/>
      <c r="M5" s="1954"/>
    </row>
    <row r="6" spans="1:18" s="1891" customFormat="1" ht="18" customHeight="1">
      <c r="A6" s="1956"/>
      <c r="B6" s="1952"/>
      <c r="C6" s="1952"/>
      <c r="D6" s="1952"/>
      <c r="E6" s="1952"/>
      <c r="F6" s="1952"/>
      <c r="G6" s="1952"/>
      <c r="H6" s="1952"/>
      <c r="I6" s="1952"/>
      <c r="J6" s="1957"/>
      <c r="K6" s="1532"/>
      <c r="L6" s="1958"/>
      <c r="M6" s="1959"/>
      <c r="R6" s="1960"/>
    </row>
    <row r="7" spans="1:18" s="1891" customFormat="1" ht="31.5" customHeight="1">
      <c r="A7" s="1609" t="s">
        <v>1226</v>
      </c>
      <c r="B7" s="1609"/>
      <c r="C7" s="1609"/>
      <c r="D7" s="1609"/>
      <c r="E7" s="1609"/>
      <c r="F7" s="1609"/>
      <c r="G7" s="1609"/>
      <c r="H7" s="1609"/>
      <c r="I7" s="1609"/>
      <c r="J7" s="1957"/>
      <c r="K7" s="1532"/>
      <c r="L7" s="1958"/>
      <c r="M7" s="1959"/>
      <c r="R7" s="1960"/>
    </row>
    <row r="8" spans="1:13" s="1891" customFormat="1" ht="30.75" customHeight="1">
      <c r="A8" s="1609" t="s">
        <v>1227</v>
      </c>
      <c r="B8" s="1609"/>
      <c r="C8" s="1609"/>
      <c r="D8" s="1609"/>
      <c r="E8" s="1609"/>
      <c r="F8" s="1609"/>
      <c r="G8" s="1609"/>
      <c r="H8" s="1609"/>
      <c r="I8" s="1609"/>
      <c r="J8" s="1957"/>
      <c r="K8" s="1532"/>
      <c r="L8" s="1958"/>
      <c r="M8" s="1959"/>
    </row>
    <row r="9" spans="1:13" s="1891" customFormat="1" ht="21.75" customHeight="1">
      <c r="A9" s="2142" t="s">
        <v>1228</v>
      </c>
      <c r="B9" s="2142"/>
      <c r="C9" s="2142"/>
      <c r="D9" s="2142"/>
      <c r="E9" s="2142"/>
      <c r="F9" s="2142"/>
      <c r="G9" s="2142"/>
      <c r="H9" s="2142"/>
      <c r="I9" s="2142"/>
      <c r="J9" s="1961"/>
      <c r="K9" s="1961"/>
      <c r="L9" s="1958"/>
      <c r="M9" s="1959"/>
    </row>
    <row r="10" spans="1:13" s="1891" customFormat="1" ht="96.75" customHeight="1">
      <c r="A10" s="1617" t="s">
        <v>1365</v>
      </c>
      <c r="B10" s="1617"/>
      <c r="C10" s="1617"/>
      <c r="D10" s="1617"/>
      <c r="E10" s="1617"/>
      <c r="F10" s="1617"/>
      <c r="G10" s="1617"/>
      <c r="H10" s="1617"/>
      <c r="I10" s="1617"/>
      <c r="J10" s="1961"/>
      <c r="K10" s="1961"/>
      <c r="L10" s="1958"/>
      <c r="M10" s="1959"/>
    </row>
    <row r="11" spans="1:13" s="1891" customFormat="1" ht="93" customHeight="1">
      <c r="A11" s="1617" t="s">
        <v>1366</v>
      </c>
      <c r="B11" s="1617"/>
      <c r="C11" s="1617"/>
      <c r="D11" s="1617"/>
      <c r="E11" s="1617"/>
      <c r="F11" s="1617"/>
      <c r="G11" s="1617"/>
      <c r="H11" s="1617"/>
      <c r="I11" s="1617"/>
      <c r="J11" s="1961"/>
      <c r="K11" s="1961"/>
      <c r="L11" s="1958"/>
      <c r="M11" s="1959"/>
    </row>
    <row r="12" spans="1:13" s="1891" customFormat="1" ht="138" customHeight="1">
      <c r="A12" s="1617" t="s">
        <v>1367</v>
      </c>
      <c r="B12" s="1617"/>
      <c r="C12" s="1617"/>
      <c r="D12" s="1617"/>
      <c r="E12" s="1617"/>
      <c r="F12" s="1617"/>
      <c r="G12" s="1617"/>
      <c r="H12" s="1617"/>
      <c r="I12" s="1617"/>
      <c r="J12" s="1961"/>
      <c r="K12" s="1961"/>
      <c r="L12" s="1958"/>
      <c r="M12" s="1959"/>
    </row>
    <row r="13" spans="1:13" s="1891" customFormat="1" ht="18" customHeight="1">
      <c r="A13" s="1962"/>
      <c r="B13" s="1963"/>
      <c r="C13" s="1963"/>
      <c r="D13" s="1963"/>
      <c r="E13" s="1963"/>
      <c r="F13" s="1963"/>
      <c r="G13" s="1963"/>
      <c r="H13" s="1963"/>
      <c r="I13" s="1963"/>
      <c r="J13" s="1964"/>
      <c r="K13" s="1961"/>
      <c r="L13" s="1958"/>
      <c r="M13" s="1959"/>
    </row>
    <row r="14" spans="1:13" s="1891" customFormat="1" ht="18" customHeight="1" thickBot="1">
      <c r="A14" s="1618" t="s">
        <v>1229</v>
      </c>
      <c r="B14" s="1618"/>
      <c r="C14" s="1618"/>
      <c r="D14" s="1618"/>
      <c r="E14" s="1618"/>
      <c r="F14" s="1618"/>
      <c r="G14" s="1618"/>
      <c r="H14" s="1618"/>
      <c r="I14" s="1619"/>
      <c r="J14" s="1964"/>
      <c r="K14" s="1961"/>
      <c r="L14" s="1958"/>
      <c r="M14" s="1959"/>
    </row>
    <row r="15" spans="1:13" s="1891" customFormat="1" ht="18" customHeight="1">
      <c r="A15" s="1616" t="s">
        <v>1230</v>
      </c>
      <c r="B15" s="1616" t="s">
        <v>1231</v>
      </c>
      <c r="C15" s="1965" t="s">
        <v>1232</v>
      </c>
      <c r="D15" s="1603"/>
      <c r="E15" s="1616" t="s">
        <v>1230</v>
      </c>
      <c r="F15" s="1966"/>
      <c r="G15" s="1965" t="s">
        <v>1232</v>
      </c>
      <c r="H15" s="1967"/>
      <c r="I15" s="1967"/>
      <c r="J15" s="1964"/>
      <c r="K15" s="1961"/>
      <c r="L15" s="1958"/>
      <c r="M15" s="1959"/>
    </row>
    <row r="16" spans="1:13" s="1891" customFormat="1" ht="18" customHeight="1">
      <c r="A16" s="1603"/>
      <c r="B16" s="1603"/>
      <c r="C16" s="1968" t="s">
        <v>1352</v>
      </c>
      <c r="D16" s="1603"/>
      <c r="E16" s="1603"/>
      <c r="F16" s="1968" t="s">
        <v>1231</v>
      </c>
      <c r="G16" s="1968" t="s">
        <v>1233</v>
      </c>
      <c r="H16" s="1967"/>
      <c r="I16" s="1967"/>
      <c r="J16" s="1964"/>
      <c r="K16" s="1961"/>
      <c r="L16" s="1958"/>
      <c r="M16" s="1959"/>
    </row>
    <row r="17" spans="1:13" s="1891" customFormat="1" ht="18" customHeight="1" thickBot="1">
      <c r="A17" s="1604"/>
      <c r="B17" s="1604"/>
      <c r="C17" s="1969"/>
      <c r="D17" s="1603"/>
      <c r="E17" s="1604"/>
      <c r="F17" s="1970"/>
      <c r="G17" s="1969"/>
      <c r="H17" s="1967"/>
      <c r="I17" s="1967"/>
      <c r="J17" s="1964"/>
      <c r="K17" s="1961"/>
      <c r="L17" s="1958"/>
      <c r="M17" s="1959"/>
    </row>
    <row r="18" spans="1:13" s="1891" customFormat="1" ht="18" customHeight="1" thickBot="1">
      <c r="A18" s="1971" t="s">
        <v>1234</v>
      </c>
      <c r="B18" s="1970" t="s">
        <v>1235</v>
      </c>
      <c r="C18" s="1972">
        <v>3885</v>
      </c>
      <c r="D18" s="1973"/>
      <c r="E18" s="1974" t="s">
        <v>1236</v>
      </c>
      <c r="F18" s="1970" t="s">
        <v>1237</v>
      </c>
      <c r="G18" s="1972">
        <v>5880</v>
      </c>
      <c r="H18" s="1967"/>
      <c r="I18" s="1967"/>
      <c r="J18" s="1964"/>
      <c r="K18" s="1961"/>
      <c r="L18" s="1958"/>
      <c r="M18" s="1959"/>
    </row>
    <row r="19" spans="1:13" s="1891" customFormat="1" ht="18" customHeight="1" thickBot="1">
      <c r="A19" s="1971" t="s">
        <v>1238</v>
      </c>
      <c r="B19" s="1970" t="s">
        <v>1239</v>
      </c>
      <c r="C19" s="1972">
        <v>4095</v>
      </c>
      <c r="D19" s="1973"/>
      <c r="E19" s="1974" t="s">
        <v>1240</v>
      </c>
      <c r="F19" s="1970" t="s">
        <v>1241</v>
      </c>
      <c r="G19" s="1972">
        <v>7140</v>
      </c>
      <c r="H19" s="1967"/>
      <c r="I19" s="1967"/>
      <c r="J19" s="1964"/>
      <c r="K19" s="1961"/>
      <c r="L19" s="1958"/>
      <c r="M19" s="1959"/>
    </row>
    <row r="20" spans="1:13" s="1891" customFormat="1" ht="18" customHeight="1" thickBot="1">
      <c r="A20" s="1971" t="s">
        <v>1242</v>
      </c>
      <c r="B20" s="1970" t="s">
        <v>1243</v>
      </c>
      <c r="C20" s="1972">
        <v>4515</v>
      </c>
      <c r="D20" s="1973"/>
      <c r="E20" s="1974"/>
      <c r="F20" s="1970"/>
      <c r="G20" s="1975"/>
      <c r="H20" s="1967"/>
      <c r="I20" s="1967"/>
      <c r="J20" s="1964"/>
      <c r="K20" s="1961"/>
      <c r="L20" s="1958"/>
      <c r="M20" s="1959"/>
    </row>
    <row r="21" spans="1:13" s="1891" customFormat="1" ht="18" customHeight="1" thickBot="1">
      <c r="A21" s="1610" t="s">
        <v>1244</v>
      </c>
      <c r="B21" s="1610"/>
      <c r="C21" s="1610"/>
      <c r="D21" s="1967"/>
      <c r="E21" s="1967"/>
      <c r="F21" s="1967"/>
      <c r="G21" s="1967"/>
      <c r="H21" s="1967"/>
      <c r="I21" s="1967"/>
      <c r="J21" s="1964"/>
      <c r="K21" s="1961"/>
      <c r="L21" s="1958"/>
      <c r="M21" s="1976"/>
    </row>
    <row r="22" spans="1:13" s="1891" customFormat="1" ht="18" customHeight="1" thickBot="1">
      <c r="A22" s="1605" t="s">
        <v>1230</v>
      </c>
      <c r="B22" s="2143" t="s">
        <v>1245</v>
      </c>
      <c r="C22" s="2144"/>
      <c r="D22" s="2144"/>
      <c r="E22" s="2144"/>
      <c r="F22" s="2144"/>
      <c r="G22" s="2145"/>
      <c r="H22" s="1612" t="s">
        <v>1246</v>
      </c>
      <c r="I22" s="1613"/>
      <c r="J22" s="1977"/>
      <c r="K22" s="1977"/>
      <c r="L22" s="1977"/>
      <c r="M22" s="1977"/>
    </row>
    <row r="23" spans="1:13" s="1891" customFormat="1" ht="18" customHeight="1">
      <c r="A23" s="1606"/>
      <c r="B23" s="1614" t="s">
        <v>1231</v>
      </c>
      <c r="C23" s="1605" t="s">
        <v>1247</v>
      </c>
      <c r="D23" s="1614" t="s">
        <v>1231</v>
      </c>
      <c r="E23" s="1978" t="s">
        <v>1248</v>
      </c>
      <c r="F23" s="2146" t="s">
        <v>1231</v>
      </c>
      <c r="G23" s="1978" t="s">
        <v>1249</v>
      </c>
      <c r="H23" s="2146" t="s">
        <v>1231</v>
      </c>
      <c r="I23" s="1978" t="s">
        <v>1249</v>
      </c>
      <c r="J23" s="1977"/>
      <c r="K23" s="1977"/>
      <c r="L23" s="1977"/>
      <c r="M23" s="1977"/>
    </row>
    <row r="24" spans="1:13" s="1891" customFormat="1" ht="18" customHeight="1" thickBot="1">
      <c r="A24" s="1607"/>
      <c r="B24" s="1615"/>
      <c r="C24" s="1607"/>
      <c r="D24" s="1615"/>
      <c r="E24" s="1979" t="s">
        <v>1233</v>
      </c>
      <c r="F24" s="2147"/>
      <c r="G24" s="1979" t="s">
        <v>1233</v>
      </c>
      <c r="H24" s="2147"/>
      <c r="I24" s="1979" t="s">
        <v>1233</v>
      </c>
      <c r="J24" s="1980"/>
      <c r="K24" s="1981"/>
      <c r="L24" s="1982"/>
      <c r="M24" s="1959"/>
    </row>
    <row r="25" spans="1:13" s="1891" customFormat="1" ht="18" customHeight="1" thickBot="1">
      <c r="A25" s="1983" t="s">
        <v>1242</v>
      </c>
      <c r="B25" s="1984" t="s">
        <v>1250</v>
      </c>
      <c r="C25" s="1985">
        <v>7140</v>
      </c>
      <c r="D25" s="1984" t="s">
        <v>1251</v>
      </c>
      <c r="E25" s="1986" t="s">
        <v>1252</v>
      </c>
      <c r="F25" s="1987" t="s">
        <v>1253</v>
      </c>
      <c r="G25" s="1988" t="s">
        <v>1253</v>
      </c>
      <c r="H25" s="1987" t="s">
        <v>1253</v>
      </c>
      <c r="I25" s="1988" t="s">
        <v>1253</v>
      </c>
      <c r="J25" s="1980"/>
      <c r="K25" s="1981"/>
      <c r="L25" s="1982"/>
      <c r="M25" s="1959"/>
    </row>
    <row r="26" spans="1:13" s="1891" customFormat="1" ht="18" customHeight="1" thickBot="1">
      <c r="A26" s="1989" t="s">
        <v>1254</v>
      </c>
      <c r="B26" s="1970" t="s">
        <v>1255</v>
      </c>
      <c r="C26" s="1972">
        <v>7665</v>
      </c>
      <c r="D26" s="1970" t="s">
        <v>1256</v>
      </c>
      <c r="E26" s="1972">
        <v>8190</v>
      </c>
      <c r="F26" s="1990" t="s">
        <v>1257</v>
      </c>
      <c r="G26" s="1972">
        <v>8610</v>
      </c>
      <c r="H26" s="1991" t="s">
        <v>1253</v>
      </c>
      <c r="I26" s="1975" t="s">
        <v>1253</v>
      </c>
      <c r="J26" s="1980"/>
      <c r="K26" s="1981"/>
      <c r="L26" s="1982"/>
      <c r="M26" s="1959"/>
    </row>
    <row r="27" spans="1:13" s="1891" customFormat="1" ht="18" customHeight="1" thickBot="1">
      <c r="A27" s="1989" t="s">
        <v>1258</v>
      </c>
      <c r="B27" s="1970" t="s">
        <v>1259</v>
      </c>
      <c r="C27" s="1972">
        <v>8190</v>
      </c>
      <c r="D27" s="1970" t="s">
        <v>1260</v>
      </c>
      <c r="E27" s="1972">
        <v>9765</v>
      </c>
      <c r="F27" s="1990" t="s">
        <v>1261</v>
      </c>
      <c r="G27" s="1972">
        <v>10395</v>
      </c>
      <c r="H27" s="1991" t="s">
        <v>1253</v>
      </c>
      <c r="I27" s="1975" t="s">
        <v>1253</v>
      </c>
      <c r="J27" s="1980"/>
      <c r="K27" s="1981"/>
      <c r="L27" s="1982"/>
      <c r="M27" s="1959"/>
    </row>
    <row r="28" spans="1:13" s="1891" customFormat="1" ht="18" customHeight="1" thickBot="1">
      <c r="A28" s="1989" t="s">
        <v>1262</v>
      </c>
      <c r="B28" s="1975" t="s">
        <v>1253</v>
      </c>
      <c r="C28" s="1975" t="s">
        <v>1253</v>
      </c>
      <c r="D28" s="1970" t="s">
        <v>1263</v>
      </c>
      <c r="E28" s="1972">
        <v>11760</v>
      </c>
      <c r="F28" s="1990" t="s">
        <v>1264</v>
      </c>
      <c r="G28" s="1992">
        <v>12390</v>
      </c>
      <c r="H28" s="1991" t="s">
        <v>1253</v>
      </c>
      <c r="I28" s="1975" t="s">
        <v>1253</v>
      </c>
      <c r="J28" s="1980"/>
      <c r="K28" s="1981"/>
      <c r="L28" s="1982"/>
      <c r="M28" s="1959"/>
    </row>
    <row r="29" spans="1:13" s="1891" customFormat="1" ht="18" customHeight="1" thickBot="1">
      <c r="A29" s="1989" t="s">
        <v>1265</v>
      </c>
      <c r="B29" s="1975" t="s">
        <v>1253</v>
      </c>
      <c r="C29" s="1975" t="s">
        <v>1253</v>
      </c>
      <c r="D29" s="1970" t="s">
        <v>1266</v>
      </c>
      <c r="E29" s="1972">
        <v>15645</v>
      </c>
      <c r="F29" s="1990" t="s">
        <v>1267</v>
      </c>
      <c r="G29" s="1992">
        <v>16695</v>
      </c>
      <c r="H29" s="1990" t="s">
        <v>1264</v>
      </c>
      <c r="I29" s="1992">
        <v>12390</v>
      </c>
      <c r="J29" s="1980"/>
      <c r="K29" s="1981"/>
      <c r="L29" s="1982"/>
      <c r="M29" s="1959"/>
    </row>
    <row r="30" spans="1:13" s="1891" customFormat="1" ht="18" customHeight="1" thickBot="1">
      <c r="A30" s="1989" t="s">
        <v>1268</v>
      </c>
      <c r="B30" s="1975" t="s">
        <v>1253</v>
      </c>
      <c r="C30" s="1975" t="s">
        <v>1253</v>
      </c>
      <c r="D30" s="1970" t="s">
        <v>1269</v>
      </c>
      <c r="E30" s="1975"/>
      <c r="F30" s="1990" t="s">
        <v>1270</v>
      </c>
      <c r="G30" s="1992">
        <v>19635</v>
      </c>
      <c r="H30" s="1990" t="s">
        <v>1267</v>
      </c>
      <c r="I30" s="1992">
        <v>16695</v>
      </c>
      <c r="J30" s="1980"/>
      <c r="K30" s="1981"/>
      <c r="L30" s="1982"/>
      <c r="M30" s="1959"/>
    </row>
    <row r="31" spans="1:13" s="1891" customFormat="1" ht="18" customHeight="1" thickBot="1">
      <c r="A31" s="1989" t="s">
        <v>1271</v>
      </c>
      <c r="B31" s="1975" t="s">
        <v>1253</v>
      </c>
      <c r="C31" s="1975" t="s">
        <v>1253</v>
      </c>
      <c r="D31" s="1970" t="s">
        <v>1272</v>
      </c>
      <c r="E31" s="1975"/>
      <c r="F31" s="1990" t="s">
        <v>1273</v>
      </c>
      <c r="G31" s="1992">
        <v>22995</v>
      </c>
      <c r="H31" s="1990" t="s">
        <v>1270</v>
      </c>
      <c r="I31" s="1992">
        <v>19635</v>
      </c>
      <c r="J31" s="1980"/>
      <c r="K31" s="1981"/>
      <c r="L31" s="1982"/>
      <c r="M31" s="1959"/>
    </row>
    <row r="32" spans="1:13" s="1891" customFormat="1" ht="18" customHeight="1" thickBot="1">
      <c r="A32" s="1989" t="s">
        <v>1274</v>
      </c>
      <c r="B32" s="1975" t="s">
        <v>1253</v>
      </c>
      <c r="C32" s="1975" t="s">
        <v>1253</v>
      </c>
      <c r="D32" s="1970" t="s">
        <v>1275</v>
      </c>
      <c r="E32" s="1975"/>
      <c r="F32" s="1990" t="s">
        <v>1276</v>
      </c>
      <c r="G32" s="1992">
        <v>31815</v>
      </c>
      <c r="H32" s="1990" t="s">
        <v>1273</v>
      </c>
      <c r="I32" s="1992">
        <v>22995</v>
      </c>
      <c r="J32" s="1980"/>
      <c r="K32" s="1981"/>
      <c r="L32" s="1982"/>
      <c r="M32" s="1959"/>
    </row>
    <row r="33" spans="1:13" s="1891" customFormat="1" ht="18" customHeight="1" thickBot="1">
      <c r="A33" s="1989" t="s">
        <v>1277</v>
      </c>
      <c r="B33" s="1975" t="s">
        <v>1253</v>
      </c>
      <c r="C33" s="1975" t="s">
        <v>1253</v>
      </c>
      <c r="D33" s="1975" t="s">
        <v>1253</v>
      </c>
      <c r="E33" s="1975" t="s">
        <v>1253</v>
      </c>
      <c r="F33" s="1990" t="s">
        <v>1278</v>
      </c>
      <c r="G33" s="1992">
        <v>40425</v>
      </c>
      <c r="H33" s="1990" t="s">
        <v>1276</v>
      </c>
      <c r="I33" s="1992">
        <v>31815</v>
      </c>
      <c r="J33" s="1980"/>
      <c r="K33" s="1981"/>
      <c r="L33" s="1982"/>
      <c r="M33" s="1959"/>
    </row>
    <row r="34" spans="1:13" s="1891" customFormat="1" ht="18" customHeight="1" thickBot="1">
      <c r="A34" s="1989" t="s">
        <v>1279</v>
      </c>
      <c r="B34" s="1975" t="s">
        <v>1253</v>
      </c>
      <c r="C34" s="1975" t="s">
        <v>1253</v>
      </c>
      <c r="D34" s="1975" t="s">
        <v>1253</v>
      </c>
      <c r="E34" s="1975" t="s">
        <v>1253</v>
      </c>
      <c r="F34" s="1990" t="s">
        <v>1280</v>
      </c>
      <c r="G34" s="1972">
        <v>44625</v>
      </c>
      <c r="H34" s="1990" t="s">
        <v>1278</v>
      </c>
      <c r="I34" s="1992">
        <v>40425</v>
      </c>
      <c r="J34" s="1980"/>
      <c r="K34" s="1981"/>
      <c r="L34" s="1982"/>
      <c r="M34" s="1959"/>
    </row>
    <row r="35" spans="1:13" s="1891" customFormat="1" ht="18" customHeight="1" thickBot="1">
      <c r="A35" s="1989" t="s">
        <v>1281</v>
      </c>
      <c r="B35" s="1975" t="s">
        <v>1253</v>
      </c>
      <c r="C35" s="1975" t="s">
        <v>1253</v>
      </c>
      <c r="D35" s="1975" t="s">
        <v>1253</v>
      </c>
      <c r="E35" s="1975" t="s">
        <v>1253</v>
      </c>
      <c r="F35" s="1990" t="s">
        <v>1282</v>
      </c>
      <c r="G35" s="1972">
        <v>63210</v>
      </c>
      <c r="H35" s="1990" t="s">
        <v>1280</v>
      </c>
      <c r="I35" s="1972">
        <v>44625</v>
      </c>
      <c r="J35" s="1980"/>
      <c r="K35" s="1981"/>
      <c r="L35" s="1982"/>
      <c r="M35" s="1959"/>
    </row>
    <row r="36" spans="1:13" s="1891" customFormat="1" ht="18" customHeight="1" thickBot="1">
      <c r="A36" s="1989" t="s">
        <v>1283</v>
      </c>
      <c r="B36" s="1975" t="s">
        <v>1253</v>
      </c>
      <c r="C36" s="1975" t="s">
        <v>1253</v>
      </c>
      <c r="D36" s="1975" t="s">
        <v>1253</v>
      </c>
      <c r="E36" s="1975" t="s">
        <v>1253</v>
      </c>
      <c r="F36" s="1990" t="s">
        <v>1284</v>
      </c>
      <c r="G36" s="1972">
        <v>74760</v>
      </c>
      <c r="H36" s="1990" t="s">
        <v>1282</v>
      </c>
      <c r="I36" s="1972">
        <v>63210</v>
      </c>
      <c r="J36" s="1980"/>
      <c r="K36" s="1981"/>
      <c r="L36" s="1982"/>
      <c r="M36" s="1959"/>
    </row>
    <row r="37" spans="1:13" s="1891" customFormat="1" ht="18" customHeight="1" thickBot="1">
      <c r="A37" s="1989" t="s">
        <v>1285</v>
      </c>
      <c r="B37" s="1975" t="s">
        <v>1253</v>
      </c>
      <c r="C37" s="1975" t="s">
        <v>1253</v>
      </c>
      <c r="D37" s="1975" t="s">
        <v>1253</v>
      </c>
      <c r="E37" s="1975" t="s">
        <v>1253</v>
      </c>
      <c r="F37" s="1990" t="s">
        <v>1286</v>
      </c>
      <c r="G37" s="1972">
        <v>87675</v>
      </c>
      <c r="H37" s="1990" t="s">
        <v>1284</v>
      </c>
      <c r="I37" s="1972">
        <v>74760</v>
      </c>
      <c r="J37" s="1980"/>
      <c r="K37" s="1981"/>
      <c r="L37" s="1982"/>
      <c r="M37" s="1959"/>
    </row>
    <row r="38" spans="1:13" s="1891" customFormat="1" ht="29.25" customHeight="1" thickBot="1">
      <c r="A38" s="1989" t="s">
        <v>1287</v>
      </c>
      <c r="B38" s="1975" t="s">
        <v>1253</v>
      </c>
      <c r="C38" s="1975" t="s">
        <v>1253</v>
      </c>
      <c r="D38" s="1975" t="s">
        <v>1253</v>
      </c>
      <c r="E38" s="1975" t="s">
        <v>1253</v>
      </c>
      <c r="F38" s="1990" t="s">
        <v>1288</v>
      </c>
      <c r="G38" s="1972">
        <v>110775</v>
      </c>
      <c r="H38" s="1990" t="s">
        <v>1286</v>
      </c>
      <c r="I38" s="1972">
        <v>87675</v>
      </c>
      <c r="J38" s="1993"/>
      <c r="K38" s="1993"/>
      <c r="L38" s="1993"/>
      <c r="M38" s="1993"/>
    </row>
    <row r="39" spans="1:13" s="1891" customFormat="1" ht="31.5" customHeight="1" thickBot="1">
      <c r="A39" s="1989" t="s">
        <v>1289</v>
      </c>
      <c r="B39" s="1975" t="s">
        <v>1253</v>
      </c>
      <c r="C39" s="1975" t="s">
        <v>1253</v>
      </c>
      <c r="D39" s="1975" t="s">
        <v>1253</v>
      </c>
      <c r="E39" s="1975" t="s">
        <v>1253</v>
      </c>
      <c r="F39" s="1990" t="s">
        <v>1290</v>
      </c>
      <c r="G39" s="1972">
        <v>148155</v>
      </c>
      <c r="H39" s="1990" t="s">
        <v>1288</v>
      </c>
      <c r="I39" s="1972">
        <v>110775</v>
      </c>
      <c r="J39" s="1936"/>
      <c r="K39" s="1994"/>
      <c r="L39" s="1936"/>
      <c r="M39" s="1936"/>
    </row>
    <row r="40" spans="1:13" s="1891" customFormat="1" ht="18" customHeight="1" thickBot="1">
      <c r="A40" s="1989" t="s">
        <v>1291</v>
      </c>
      <c r="B40" s="1975" t="s">
        <v>1253</v>
      </c>
      <c r="C40" s="1975" t="s">
        <v>1253</v>
      </c>
      <c r="D40" s="1975" t="s">
        <v>1253</v>
      </c>
      <c r="E40" s="1975" t="s">
        <v>1253</v>
      </c>
      <c r="F40" s="1990" t="s">
        <v>1292</v>
      </c>
      <c r="G40" s="1972">
        <v>168945</v>
      </c>
      <c r="H40" s="1990" t="s">
        <v>1290</v>
      </c>
      <c r="I40" s="1972">
        <v>148155</v>
      </c>
      <c r="J40" s="1936"/>
      <c r="K40" s="1936"/>
      <c r="L40" s="1936"/>
      <c r="M40" s="1936"/>
    </row>
    <row r="41" spans="1:13" s="1891" customFormat="1" ht="18" customHeight="1" thickBot="1">
      <c r="A41" s="1989" t="s">
        <v>1293</v>
      </c>
      <c r="B41" s="1975" t="s">
        <v>1253</v>
      </c>
      <c r="C41" s="1975" t="s">
        <v>1253</v>
      </c>
      <c r="D41" s="1975" t="s">
        <v>1253</v>
      </c>
      <c r="E41" s="1975" t="s">
        <v>1253</v>
      </c>
      <c r="F41" s="1990" t="s">
        <v>1294</v>
      </c>
      <c r="G41" s="1972">
        <v>194775</v>
      </c>
      <c r="H41" s="1990" t="s">
        <v>1292</v>
      </c>
      <c r="I41" s="1972">
        <v>168945</v>
      </c>
      <c r="J41" s="1936"/>
      <c r="K41" s="1936"/>
      <c r="L41" s="1936"/>
      <c r="M41" s="1936"/>
    </row>
    <row r="42" spans="1:13" s="1891" customFormat="1" ht="18" customHeight="1" thickBot="1">
      <c r="A42" s="1989" t="s">
        <v>1295</v>
      </c>
      <c r="B42" s="1975" t="s">
        <v>1253</v>
      </c>
      <c r="C42" s="1975" t="s">
        <v>1253</v>
      </c>
      <c r="D42" s="1975" t="s">
        <v>1253</v>
      </c>
      <c r="E42" s="1975" t="s">
        <v>1253</v>
      </c>
      <c r="F42" s="1990" t="s">
        <v>1296</v>
      </c>
      <c r="G42" s="1972">
        <v>235095</v>
      </c>
      <c r="H42" s="1990" t="s">
        <v>1294</v>
      </c>
      <c r="I42" s="1972">
        <v>194775</v>
      </c>
      <c r="J42" s="1936"/>
      <c r="K42" s="1936"/>
      <c r="L42" s="1936"/>
      <c r="M42" s="1936"/>
    </row>
    <row r="43" spans="1:13" s="1891" customFormat="1" ht="18" customHeight="1" thickBot="1">
      <c r="A43" s="1989" t="s">
        <v>1297</v>
      </c>
      <c r="B43" s="1975" t="s">
        <v>1253</v>
      </c>
      <c r="C43" s="1975" t="s">
        <v>1253</v>
      </c>
      <c r="D43" s="1975" t="s">
        <v>1253</v>
      </c>
      <c r="E43" s="1975" t="s">
        <v>1253</v>
      </c>
      <c r="F43" s="1990" t="s">
        <v>1298</v>
      </c>
      <c r="G43" s="1972">
        <v>307860</v>
      </c>
      <c r="H43" s="1990" t="s">
        <v>1296</v>
      </c>
      <c r="I43" s="1972">
        <v>235095</v>
      </c>
      <c r="J43" s="1936"/>
      <c r="K43" s="1936"/>
      <c r="L43" s="1936"/>
      <c r="M43" s="1936"/>
    </row>
    <row r="44" spans="1:13" s="1891" customFormat="1" ht="18" customHeight="1" thickBot="1">
      <c r="A44" s="1989" t="s">
        <v>1299</v>
      </c>
      <c r="B44" s="1975" t="s">
        <v>1253</v>
      </c>
      <c r="C44" s="1975" t="s">
        <v>1253</v>
      </c>
      <c r="D44" s="1975" t="s">
        <v>1253</v>
      </c>
      <c r="E44" s="1975" t="s">
        <v>1253</v>
      </c>
      <c r="F44" s="1990" t="s">
        <v>1300</v>
      </c>
      <c r="G44" s="1972">
        <v>336420</v>
      </c>
      <c r="H44" s="1990" t="s">
        <v>1298</v>
      </c>
      <c r="I44" s="1972">
        <v>307860</v>
      </c>
      <c r="J44" s="1936"/>
      <c r="K44" s="1936"/>
      <c r="L44" s="1936"/>
      <c r="M44" s="1936"/>
    </row>
    <row r="45" spans="1:9" ht="16.5" thickBot="1">
      <c r="A45" s="1989" t="s">
        <v>1301</v>
      </c>
      <c r="B45" s="1975" t="s">
        <v>1253</v>
      </c>
      <c r="C45" s="1975" t="s">
        <v>1253</v>
      </c>
      <c r="D45" s="1975" t="s">
        <v>1253</v>
      </c>
      <c r="E45" s="1975" t="s">
        <v>1253</v>
      </c>
      <c r="F45" s="1990" t="s">
        <v>1302</v>
      </c>
      <c r="G45" s="1972">
        <v>392070</v>
      </c>
      <c r="H45" s="1990" t="s">
        <v>1300</v>
      </c>
      <c r="I45" s="1972">
        <v>336420</v>
      </c>
    </row>
    <row r="46" spans="1:9" ht="16.5" thickBot="1">
      <c r="A46" s="1989" t="s">
        <v>1303</v>
      </c>
      <c r="B46" s="1975" t="s">
        <v>1253</v>
      </c>
      <c r="C46" s="1975" t="s">
        <v>1253</v>
      </c>
      <c r="D46" s="1975" t="s">
        <v>1253</v>
      </c>
      <c r="E46" s="1975" t="s">
        <v>1253</v>
      </c>
      <c r="F46" s="1990" t="s">
        <v>1304</v>
      </c>
      <c r="G46" s="1972">
        <v>440475</v>
      </c>
      <c r="H46" s="1990" t="s">
        <v>1302</v>
      </c>
      <c r="I46" s="1972">
        <v>392070</v>
      </c>
    </row>
    <row r="47" spans="1:9" ht="16.5" thickBot="1">
      <c r="A47" s="1989" t="s">
        <v>1305</v>
      </c>
      <c r="B47" s="1975" t="s">
        <v>1253</v>
      </c>
      <c r="C47" s="1975" t="s">
        <v>1253</v>
      </c>
      <c r="D47" s="1975" t="s">
        <v>1253</v>
      </c>
      <c r="E47" s="1975" t="s">
        <v>1253</v>
      </c>
      <c r="F47" s="1990" t="s">
        <v>1306</v>
      </c>
      <c r="G47" s="1972">
        <v>487475</v>
      </c>
      <c r="H47" s="1990" t="s">
        <v>1304</v>
      </c>
      <c r="I47" s="1972">
        <v>440475</v>
      </c>
    </row>
    <row r="48" spans="1:9" ht="16.5" thickBot="1">
      <c r="A48" s="1989" t="s">
        <v>1307</v>
      </c>
      <c r="B48" s="1975" t="s">
        <v>1253</v>
      </c>
      <c r="C48" s="1975" t="s">
        <v>1253</v>
      </c>
      <c r="D48" s="1975" t="s">
        <v>1253</v>
      </c>
      <c r="E48" s="1975" t="s">
        <v>1253</v>
      </c>
      <c r="F48" s="1990" t="s">
        <v>1308</v>
      </c>
      <c r="G48" s="1972">
        <v>508830</v>
      </c>
      <c r="H48" s="1990" t="s">
        <v>1306</v>
      </c>
      <c r="I48" s="1972">
        <v>482475</v>
      </c>
    </row>
    <row r="49" spans="1:9" ht="16.5" thickBot="1">
      <c r="A49" s="1989" t="s">
        <v>1309</v>
      </c>
      <c r="B49" s="1975" t="s">
        <v>1253</v>
      </c>
      <c r="C49" s="1975" t="s">
        <v>1253</v>
      </c>
      <c r="D49" s="1975" t="s">
        <v>1253</v>
      </c>
      <c r="E49" s="1975" t="s">
        <v>1253</v>
      </c>
      <c r="F49" s="1990" t="s">
        <v>1310</v>
      </c>
      <c r="G49" s="1972">
        <v>535080</v>
      </c>
      <c r="H49" s="1990" t="s">
        <v>1308</v>
      </c>
      <c r="I49" s="1972">
        <v>508830</v>
      </c>
    </row>
    <row r="50" spans="1:9" ht="15.75">
      <c r="A50" s="1611" t="s">
        <v>1311</v>
      </c>
      <c r="B50" s="1611"/>
      <c r="C50" s="1611"/>
      <c r="D50" s="1611"/>
      <c r="E50" s="1611"/>
      <c r="F50" s="1611"/>
      <c r="G50" s="1611"/>
      <c r="H50" s="1611"/>
      <c r="I50" s="1611"/>
    </row>
    <row r="51" ht="15">
      <c r="I51" s="1891" t="s">
        <v>1312</v>
      </c>
    </row>
    <row r="55" spans="1:9" ht="27" customHeight="1">
      <c r="A55" s="1646" t="s">
        <v>114</v>
      </c>
      <c r="B55" s="1646"/>
      <c r="C55" s="1646"/>
      <c r="D55" s="1646"/>
      <c r="E55" s="1646"/>
      <c r="F55" s="1646"/>
      <c r="G55" s="1646"/>
      <c r="H55" s="1646"/>
      <c r="I55" s="1646"/>
    </row>
    <row r="56" spans="1:9" ht="27" customHeight="1">
      <c r="A56" s="1646" t="s">
        <v>336</v>
      </c>
      <c r="B56" s="1646"/>
      <c r="C56" s="1646"/>
      <c r="D56" s="1646"/>
      <c r="E56" s="1646"/>
      <c r="F56" s="1646"/>
      <c r="G56" s="1646"/>
      <c r="H56" s="1646"/>
      <c r="I56" s="1646"/>
    </row>
    <row r="57" spans="1:9" ht="27" customHeight="1">
      <c r="A57" s="1646" t="s">
        <v>1224</v>
      </c>
      <c r="B57" s="1646"/>
      <c r="C57" s="1646"/>
      <c r="D57" s="1646"/>
      <c r="E57" s="1646"/>
      <c r="F57" s="1646"/>
      <c r="G57" s="1646"/>
      <c r="H57" s="1646"/>
      <c r="I57" s="1646"/>
    </row>
    <row r="58" spans="1:9" ht="27" customHeight="1">
      <c r="A58" s="1995" t="s">
        <v>1225</v>
      </c>
      <c r="B58" s="1996"/>
      <c r="C58" s="1996"/>
      <c r="D58" s="1996"/>
      <c r="E58" s="1996"/>
      <c r="F58" s="1996"/>
      <c r="G58" s="1996"/>
      <c r="H58" s="1997" t="s">
        <v>149</v>
      </c>
      <c r="I58" s="1996"/>
    </row>
    <row r="59" spans="1:9" ht="27" customHeight="1">
      <c r="A59" s="1998" t="s">
        <v>961</v>
      </c>
      <c r="B59" s="1999"/>
      <c r="C59" s="1999"/>
      <c r="D59" s="1999"/>
      <c r="E59" s="1999"/>
      <c r="F59" s="1999"/>
      <c r="G59" s="1998" t="s">
        <v>962</v>
      </c>
      <c r="H59" s="1999"/>
      <c r="I59" s="1999"/>
    </row>
    <row r="60" spans="1:13" s="2002" customFormat="1" ht="33.75" customHeight="1" thickBot="1">
      <c r="A60" s="1652" t="s">
        <v>1227</v>
      </c>
      <c r="B60" s="1652"/>
      <c r="C60" s="1652"/>
      <c r="D60" s="1652"/>
      <c r="E60" s="1652"/>
      <c r="F60" s="1652"/>
      <c r="G60" s="1652"/>
      <c r="H60" s="1652"/>
      <c r="I60" s="1652"/>
      <c r="J60" s="2000"/>
      <c r="K60" s="2001"/>
      <c r="L60" s="2001"/>
      <c r="M60" s="2001"/>
    </row>
    <row r="61" spans="1:13" s="2002" customFormat="1" ht="18" customHeight="1" thickBot="1">
      <c r="A61" s="1647" t="s">
        <v>1313</v>
      </c>
      <c r="B61" s="1654"/>
      <c r="C61" s="1654"/>
      <c r="D61" s="1654"/>
      <c r="E61" s="1654"/>
      <c r="F61" s="1654"/>
      <c r="G61" s="1654"/>
      <c r="H61" s="1654"/>
      <c r="I61" s="1648"/>
      <c r="J61" s="2000"/>
      <c r="K61" s="2001"/>
      <c r="L61" s="2001"/>
      <c r="M61" s="2001"/>
    </row>
    <row r="62" spans="1:13" s="2002" customFormat="1" ht="60" customHeight="1">
      <c r="A62" s="1630" t="s">
        <v>1353</v>
      </c>
      <c r="B62" s="1630"/>
      <c r="C62" s="1630"/>
      <c r="D62" s="1630"/>
      <c r="E62" s="1630"/>
      <c r="F62" s="1630"/>
      <c r="G62" s="1630"/>
      <c r="H62" s="1630"/>
      <c r="I62" s="1630"/>
      <c r="J62" s="2000"/>
      <c r="K62" s="2001"/>
      <c r="L62" s="2001"/>
      <c r="M62" s="2001"/>
    </row>
    <row r="63" spans="1:13" s="2002" customFormat="1" ht="82.5" customHeight="1">
      <c r="A63" s="1653" t="s">
        <v>1368</v>
      </c>
      <c r="B63" s="1653"/>
      <c r="C63" s="1653"/>
      <c r="D63" s="1653"/>
      <c r="E63" s="1653"/>
      <c r="F63" s="1653"/>
      <c r="G63" s="1653"/>
      <c r="H63" s="1653"/>
      <c r="I63" s="1653"/>
      <c r="J63" s="2000"/>
      <c r="K63" s="2001"/>
      <c r="L63" s="2001"/>
      <c r="M63" s="2001"/>
    </row>
    <row r="64" spans="1:13" s="2002" customFormat="1" ht="74.25" customHeight="1">
      <c r="A64" s="1631" t="s">
        <v>1369</v>
      </c>
      <c r="B64" s="1631"/>
      <c r="C64" s="1631"/>
      <c r="D64" s="1631"/>
      <c r="E64" s="1631"/>
      <c r="F64" s="1631"/>
      <c r="G64" s="1631"/>
      <c r="H64" s="1631"/>
      <c r="I64" s="1631"/>
      <c r="J64" s="2000"/>
      <c r="K64" s="2001"/>
      <c r="L64" s="2001"/>
      <c r="M64" s="2001"/>
    </row>
    <row r="65" spans="1:13" s="2002" customFormat="1" ht="42" customHeight="1">
      <c r="A65" s="1653" t="s">
        <v>1314</v>
      </c>
      <c r="B65" s="1653"/>
      <c r="C65" s="1653"/>
      <c r="D65" s="1653"/>
      <c r="E65" s="1653"/>
      <c r="F65" s="1653"/>
      <c r="G65" s="1653"/>
      <c r="H65" s="1653"/>
      <c r="I65" s="1653"/>
      <c r="J65" s="2000"/>
      <c r="K65" s="2001"/>
      <c r="L65" s="2001"/>
      <c r="M65" s="2001"/>
    </row>
    <row r="66" spans="1:13" s="2002" customFormat="1" ht="37.5" customHeight="1">
      <c r="A66" s="1653" t="s">
        <v>1315</v>
      </c>
      <c r="B66" s="1653"/>
      <c r="C66" s="1653"/>
      <c r="D66" s="1653"/>
      <c r="E66" s="1653"/>
      <c r="F66" s="1653"/>
      <c r="G66" s="1653"/>
      <c r="H66" s="1653"/>
      <c r="I66" s="1653"/>
      <c r="J66" s="2000"/>
      <c r="K66" s="2001"/>
      <c r="L66" s="2001"/>
      <c r="M66" s="2001"/>
    </row>
    <row r="67" spans="1:13" s="2002" customFormat="1" ht="80.25" customHeight="1">
      <c r="A67" s="1637" t="s">
        <v>1370</v>
      </c>
      <c r="B67" s="1637"/>
      <c r="C67" s="1637"/>
      <c r="D67" s="1637"/>
      <c r="E67" s="1637"/>
      <c r="F67" s="1637"/>
      <c r="G67" s="1637"/>
      <c r="H67" s="1637"/>
      <c r="I67" s="1637"/>
      <c r="J67" s="2000"/>
      <c r="K67" s="2001"/>
      <c r="L67" s="2001"/>
      <c r="M67" s="2001"/>
    </row>
    <row r="68" spans="1:13" s="2002" customFormat="1" ht="45" customHeight="1">
      <c r="A68" s="1653" t="s">
        <v>1316</v>
      </c>
      <c r="B68" s="1653"/>
      <c r="C68" s="1653"/>
      <c r="D68" s="1653"/>
      <c r="E68" s="1653"/>
      <c r="F68" s="1653"/>
      <c r="G68" s="1653"/>
      <c r="H68" s="1653"/>
      <c r="I68" s="1653"/>
      <c r="J68" s="2000"/>
      <c r="K68" s="2001"/>
      <c r="L68" s="2001"/>
      <c r="M68" s="2001"/>
    </row>
    <row r="69" spans="1:13" s="2002" customFormat="1" ht="18" customHeight="1">
      <c r="A69" s="1653" t="s">
        <v>1354</v>
      </c>
      <c r="B69" s="1653"/>
      <c r="C69" s="1653"/>
      <c r="D69" s="1653"/>
      <c r="E69" s="1653"/>
      <c r="F69" s="1653"/>
      <c r="G69" s="1653"/>
      <c r="H69" s="1653"/>
      <c r="I69" s="1653"/>
      <c r="J69" s="2000"/>
      <c r="K69" s="2001"/>
      <c r="L69" s="2001"/>
      <c r="M69" s="2001"/>
    </row>
    <row r="70" spans="1:13" s="2002" customFormat="1" ht="15">
      <c r="A70" s="2003"/>
      <c r="B70" s="2004"/>
      <c r="C70" s="2004"/>
      <c r="D70" s="2004"/>
      <c r="E70" s="2004"/>
      <c r="F70" s="2004"/>
      <c r="G70" s="2004"/>
      <c r="H70" s="2004"/>
      <c r="I70" s="2004"/>
      <c r="J70" s="2000"/>
      <c r="K70" s="2001"/>
      <c r="L70" s="2001"/>
      <c r="M70" s="2001"/>
    </row>
    <row r="71" spans="1:13" s="2002" customFormat="1" ht="16.5" thickBot="1">
      <c r="A71" s="1629" t="s">
        <v>1317</v>
      </c>
      <c r="B71" s="1629"/>
      <c r="C71" s="1629"/>
      <c r="D71" s="1629"/>
      <c r="E71" s="1629"/>
      <c r="F71" s="1629"/>
      <c r="G71" s="1629"/>
      <c r="H71" s="1629"/>
      <c r="I71" s="1629"/>
      <c r="J71" s="2000"/>
      <c r="K71" s="2001"/>
      <c r="L71" s="2001"/>
      <c r="M71" s="2001"/>
    </row>
    <row r="72" spans="1:10" ht="15.75" thickBot="1">
      <c r="A72" s="1638" t="s">
        <v>1230</v>
      </c>
      <c r="B72" s="1622" t="s">
        <v>1318</v>
      </c>
      <c r="C72" s="1623"/>
      <c r="D72" s="1623"/>
      <c r="E72" s="1623"/>
      <c r="F72" s="1623"/>
      <c r="G72" s="1624"/>
      <c r="H72" s="1625" t="s">
        <v>1319</v>
      </c>
      <c r="I72" s="1626"/>
      <c r="J72" s="2000"/>
    </row>
    <row r="73" spans="1:10" ht="15.75" thickBot="1">
      <c r="A73" s="1620"/>
      <c r="B73" s="1622" t="s">
        <v>1320</v>
      </c>
      <c r="C73" s="1624"/>
      <c r="D73" s="1622" t="s">
        <v>1321</v>
      </c>
      <c r="E73" s="1624"/>
      <c r="F73" s="1622" t="s">
        <v>1322</v>
      </c>
      <c r="G73" s="1624"/>
      <c r="H73" s="1627"/>
      <c r="I73" s="1628"/>
      <c r="J73" s="2000"/>
    </row>
    <row r="74" spans="1:10" ht="12.75">
      <c r="A74" s="1620"/>
      <c r="B74" s="1638" t="s">
        <v>1231</v>
      </c>
      <c r="C74" s="1638" t="s">
        <v>1355</v>
      </c>
      <c r="D74" s="1638" t="s">
        <v>1231</v>
      </c>
      <c r="E74" s="1638" t="s">
        <v>1356</v>
      </c>
      <c r="F74" s="1638" t="s">
        <v>1231</v>
      </c>
      <c r="G74" s="1638" t="s">
        <v>1357</v>
      </c>
      <c r="H74" s="1638" t="s">
        <v>1231</v>
      </c>
      <c r="I74" s="1638" t="s">
        <v>1358</v>
      </c>
      <c r="J74" s="2000"/>
    </row>
    <row r="75" spans="1:10" ht="13.5" thickBot="1">
      <c r="A75" s="1621"/>
      <c r="B75" s="1621"/>
      <c r="C75" s="1621"/>
      <c r="D75" s="1621"/>
      <c r="E75" s="1621"/>
      <c r="F75" s="1621"/>
      <c r="G75" s="1621"/>
      <c r="H75" s="1621"/>
      <c r="I75" s="1621"/>
      <c r="J75" s="2000"/>
    </row>
    <row r="76" spans="1:10" ht="16.5" thickBot="1">
      <c r="A76" s="2005" t="s">
        <v>1323</v>
      </c>
      <c r="B76" s="2006">
        <v>1</v>
      </c>
      <c r="C76" s="2007">
        <v>7245</v>
      </c>
      <c r="D76" s="2008" t="s">
        <v>1253</v>
      </c>
      <c r="E76" s="2008" t="s">
        <v>1253</v>
      </c>
      <c r="F76" s="2008" t="s">
        <v>1253</v>
      </c>
      <c r="G76" s="2008" t="s">
        <v>1253</v>
      </c>
      <c r="H76" s="1647" t="s">
        <v>1324</v>
      </c>
      <c r="I76" s="1648"/>
      <c r="J76" s="2000"/>
    </row>
    <row r="77" spans="1:10" ht="16.5" thickBot="1">
      <c r="A77" s="2005" t="s">
        <v>1325</v>
      </c>
      <c r="B77" s="2006">
        <v>2</v>
      </c>
      <c r="C77" s="2007">
        <v>8085</v>
      </c>
      <c r="D77" s="2008" t="s">
        <v>1253</v>
      </c>
      <c r="E77" s="2008" t="s">
        <v>1253</v>
      </c>
      <c r="F77" s="2008" t="s">
        <v>1253</v>
      </c>
      <c r="G77" s="2008" t="s">
        <v>1253</v>
      </c>
      <c r="H77" s="2006">
        <v>1</v>
      </c>
      <c r="I77" s="2007">
        <v>7245</v>
      </c>
      <c r="J77" s="2000"/>
    </row>
    <row r="78" spans="1:10" ht="16.5" thickBot="1">
      <c r="A78" s="2005" t="s">
        <v>1242</v>
      </c>
      <c r="B78" s="2006">
        <v>3</v>
      </c>
      <c r="C78" s="2007">
        <v>9240</v>
      </c>
      <c r="D78" s="2008">
        <v>3</v>
      </c>
      <c r="E78" s="2007">
        <v>18585</v>
      </c>
      <c r="F78" s="2008">
        <v>3</v>
      </c>
      <c r="G78" s="2007">
        <v>32865</v>
      </c>
      <c r="H78" s="2006">
        <v>2</v>
      </c>
      <c r="I78" s="2007">
        <v>8085</v>
      </c>
      <c r="J78" s="2000"/>
    </row>
    <row r="79" spans="1:10" ht="16.5" thickBot="1">
      <c r="A79" s="2005" t="s">
        <v>1326</v>
      </c>
      <c r="B79" s="2006">
        <v>4</v>
      </c>
      <c r="C79" s="2007">
        <v>9870</v>
      </c>
      <c r="D79" s="2008">
        <v>4</v>
      </c>
      <c r="E79" s="2007">
        <v>20475</v>
      </c>
      <c r="F79" s="2008">
        <v>4</v>
      </c>
      <c r="G79" s="2007">
        <v>35490</v>
      </c>
      <c r="H79" s="2006">
        <v>3</v>
      </c>
      <c r="I79" s="2007">
        <v>9240</v>
      </c>
      <c r="J79" s="2000"/>
    </row>
    <row r="80" spans="1:10" ht="16.5" thickBot="1">
      <c r="A80" s="2005" t="s">
        <v>1236</v>
      </c>
      <c r="B80" s="2006">
        <v>5</v>
      </c>
      <c r="C80" s="2007">
        <v>11235</v>
      </c>
      <c r="D80" s="2008">
        <v>5</v>
      </c>
      <c r="E80" s="2007">
        <v>21525</v>
      </c>
      <c r="F80" s="2008">
        <v>5</v>
      </c>
      <c r="G80" s="2007">
        <v>36960</v>
      </c>
      <c r="H80" s="2006">
        <v>4</v>
      </c>
      <c r="I80" s="2007">
        <v>9870</v>
      </c>
      <c r="J80" s="2000"/>
    </row>
    <row r="81" spans="1:10" ht="16.5" thickBot="1">
      <c r="A81" s="2005" t="s">
        <v>1240</v>
      </c>
      <c r="B81" s="2006">
        <v>7</v>
      </c>
      <c r="C81" s="2007">
        <v>15225</v>
      </c>
      <c r="D81" s="2008">
        <v>7</v>
      </c>
      <c r="E81" s="2007">
        <v>22575</v>
      </c>
      <c r="F81" s="2008">
        <v>7</v>
      </c>
      <c r="G81" s="2007">
        <v>38430</v>
      </c>
      <c r="H81" s="2006">
        <v>5</v>
      </c>
      <c r="I81" s="2007">
        <v>11235</v>
      </c>
      <c r="J81" s="2000"/>
    </row>
    <row r="82" spans="1:10" ht="16.5" thickBot="1">
      <c r="A82" s="2005" t="s">
        <v>1327</v>
      </c>
      <c r="B82" s="2006">
        <v>9</v>
      </c>
      <c r="C82" s="2007">
        <v>16800</v>
      </c>
      <c r="D82" s="2008">
        <v>9</v>
      </c>
      <c r="E82" s="2007">
        <v>24255</v>
      </c>
      <c r="F82" s="2008">
        <v>9</v>
      </c>
      <c r="G82" s="2007">
        <v>40845</v>
      </c>
      <c r="H82" s="2006">
        <v>7</v>
      </c>
      <c r="I82" s="2007">
        <v>15225</v>
      </c>
      <c r="J82" s="2000"/>
    </row>
    <row r="83" spans="1:10" ht="16.5" thickBot="1">
      <c r="A83" s="2005" t="s">
        <v>1328</v>
      </c>
      <c r="B83" s="2006">
        <v>12</v>
      </c>
      <c r="C83" s="2007">
        <v>18743</v>
      </c>
      <c r="D83" s="2008">
        <v>12</v>
      </c>
      <c r="E83" s="2007">
        <v>27405</v>
      </c>
      <c r="F83" s="2008">
        <v>12</v>
      </c>
      <c r="G83" s="2007">
        <v>45255</v>
      </c>
      <c r="H83" s="2006">
        <v>9</v>
      </c>
      <c r="I83" s="2007">
        <v>16800</v>
      </c>
      <c r="J83" s="2000"/>
    </row>
    <row r="84" spans="1:10" ht="16.5" thickBot="1">
      <c r="A84" s="2005" t="s">
        <v>1329</v>
      </c>
      <c r="B84" s="2006">
        <v>16</v>
      </c>
      <c r="C84" s="2007">
        <v>23310</v>
      </c>
      <c r="D84" s="2008">
        <v>16</v>
      </c>
      <c r="E84" s="2007">
        <v>32655</v>
      </c>
      <c r="F84" s="2008">
        <v>16</v>
      </c>
      <c r="G84" s="2007">
        <v>52815</v>
      </c>
      <c r="H84" s="2006">
        <v>12</v>
      </c>
      <c r="I84" s="2007">
        <v>18743</v>
      </c>
      <c r="J84" s="2000"/>
    </row>
    <row r="85" spans="1:10" ht="16.5" thickBot="1">
      <c r="A85" s="2005" t="s">
        <v>1330</v>
      </c>
      <c r="B85" s="2006">
        <v>23</v>
      </c>
      <c r="C85" s="2007">
        <v>28560</v>
      </c>
      <c r="D85" s="2008">
        <v>22</v>
      </c>
      <c r="E85" s="2007">
        <v>40005</v>
      </c>
      <c r="F85" s="2008">
        <v>22</v>
      </c>
      <c r="G85" s="2007">
        <v>63000</v>
      </c>
      <c r="H85" s="2006">
        <v>16</v>
      </c>
      <c r="I85" s="2007">
        <v>23310</v>
      </c>
      <c r="J85" s="2000"/>
    </row>
    <row r="86" spans="1:10" ht="16.5" thickBot="1">
      <c r="A86" s="2005" t="s">
        <v>1331</v>
      </c>
      <c r="B86" s="2006">
        <v>31</v>
      </c>
      <c r="C86" s="2007">
        <v>35228</v>
      </c>
      <c r="D86" s="2008">
        <v>31</v>
      </c>
      <c r="E86" s="2007">
        <v>47985</v>
      </c>
      <c r="F86" s="2008">
        <v>31</v>
      </c>
      <c r="G86" s="2007">
        <v>74445</v>
      </c>
      <c r="H86" s="2006">
        <v>23</v>
      </c>
      <c r="I86" s="2007">
        <v>28560</v>
      </c>
      <c r="J86" s="2000"/>
    </row>
    <row r="87" spans="1:10" ht="16.5" thickBot="1">
      <c r="A87" s="2005" t="s">
        <v>1332</v>
      </c>
      <c r="B87" s="2006">
        <v>38</v>
      </c>
      <c r="C87" s="2007">
        <v>38905</v>
      </c>
      <c r="D87" s="2008">
        <v>38</v>
      </c>
      <c r="E87" s="2007">
        <v>53340</v>
      </c>
      <c r="F87" s="2008">
        <v>38</v>
      </c>
      <c r="G87" s="2007">
        <v>90720</v>
      </c>
      <c r="H87" s="2006">
        <v>31</v>
      </c>
      <c r="I87" s="2007">
        <v>35228</v>
      </c>
      <c r="J87" s="2000"/>
    </row>
    <row r="88" spans="1:10" ht="16.5" thickBot="1">
      <c r="A88" s="2005" t="s">
        <v>1277</v>
      </c>
      <c r="B88" s="2006">
        <v>46</v>
      </c>
      <c r="C88" s="2007">
        <v>47145</v>
      </c>
      <c r="D88" s="2008">
        <v>45</v>
      </c>
      <c r="E88" s="2007">
        <v>60585</v>
      </c>
      <c r="F88" s="2008">
        <v>45</v>
      </c>
      <c r="G88" s="2007">
        <v>94605</v>
      </c>
      <c r="H88" s="2006">
        <v>38</v>
      </c>
      <c r="I88" s="2007">
        <v>40845</v>
      </c>
      <c r="J88" s="2000"/>
    </row>
    <row r="89" spans="1:10" ht="16.5" thickBot="1">
      <c r="A89" s="2005" t="s">
        <v>1333</v>
      </c>
      <c r="B89" s="2006">
        <v>61</v>
      </c>
      <c r="C89" s="2007">
        <v>56175</v>
      </c>
      <c r="D89" s="2008">
        <v>61</v>
      </c>
      <c r="E89" s="2007">
        <v>70245</v>
      </c>
      <c r="F89" s="2008">
        <v>61</v>
      </c>
      <c r="G89" s="2007">
        <v>108150</v>
      </c>
      <c r="H89" s="2006">
        <v>46</v>
      </c>
      <c r="I89" s="2007">
        <v>47145</v>
      </c>
      <c r="J89" s="2000"/>
    </row>
    <row r="90" spans="1:10" ht="16.5" thickBot="1">
      <c r="A90" s="2005" t="s">
        <v>1334</v>
      </c>
      <c r="B90" s="2006" t="s">
        <v>1253</v>
      </c>
      <c r="C90" s="2006" t="s">
        <v>1253</v>
      </c>
      <c r="D90" s="2008">
        <v>72</v>
      </c>
      <c r="E90" s="2007">
        <v>82110</v>
      </c>
      <c r="F90" s="2008">
        <v>72</v>
      </c>
      <c r="G90" s="2007">
        <v>132090</v>
      </c>
      <c r="H90" s="2006">
        <v>61</v>
      </c>
      <c r="I90" s="2007">
        <v>56175</v>
      </c>
      <c r="J90" s="2000"/>
    </row>
    <row r="91" spans="1:10" ht="16.5" thickBot="1">
      <c r="A91" s="2005"/>
      <c r="B91" s="2006" t="s">
        <v>1253</v>
      </c>
      <c r="C91" s="2006" t="s">
        <v>1253</v>
      </c>
      <c r="D91" s="2006"/>
      <c r="E91" s="2009" t="s">
        <v>465</v>
      </c>
      <c r="F91" s="2006"/>
      <c r="G91" s="2008"/>
      <c r="H91" s="1647" t="s">
        <v>1335</v>
      </c>
      <c r="I91" s="1648"/>
      <c r="J91" s="2000"/>
    </row>
    <row r="92" spans="1:10" ht="16.5" thickBot="1">
      <c r="A92" s="2005" t="s">
        <v>1336</v>
      </c>
      <c r="B92" s="2006" t="s">
        <v>1253</v>
      </c>
      <c r="C92" s="2006" t="s">
        <v>1253</v>
      </c>
      <c r="D92" s="2006">
        <v>87</v>
      </c>
      <c r="E92" s="2007">
        <v>99645</v>
      </c>
      <c r="F92" s="2006">
        <v>87</v>
      </c>
      <c r="G92" s="2007">
        <v>158445</v>
      </c>
      <c r="H92" s="2006">
        <v>72</v>
      </c>
      <c r="I92" s="2007">
        <v>82110</v>
      </c>
      <c r="J92" s="2000"/>
    </row>
    <row r="93" spans="1:10" ht="16.5" thickBot="1">
      <c r="A93" s="2005" t="s">
        <v>1337</v>
      </c>
      <c r="B93" s="2006" t="s">
        <v>1253</v>
      </c>
      <c r="C93" s="2006" t="s">
        <v>1253</v>
      </c>
      <c r="D93" s="2006">
        <v>105</v>
      </c>
      <c r="E93" s="2007">
        <v>117600</v>
      </c>
      <c r="F93" s="2006">
        <v>105</v>
      </c>
      <c r="G93" s="2007">
        <v>181440</v>
      </c>
      <c r="H93" s="2006">
        <v>87</v>
      </c>
      <c r="I93" s="2007">
        <v>99645</v>
      </c>
      <c r="J93" s="2000"/>
    </row>
    <row r="94" spans="1:10" ht="16.5" thickBot="1">
      <c r="A94" s="2005" t="s">
        <v>1338</v>
      </c>
      <c r="B94" s="2006" t="s">
        <v>1253</v>
      </c>
      <c r="C94" s="2006" t="s">
        <v>1253</v>
      </c>
      <c r="D94" s="2006">
        <v>140</v>
      </c>
      <c r="E94" s="2007">
        <v>134610</v>
      </c>
      <c r="F94" s="2006">
        <v>140</v>
      </c>
      <c r="G94" s="2007">
        <v>213570</v>
      </c>
      <c r="H94" s="2006">
        <v>105</v>
      </c>
      <c r="I94" s="2007">
        <v>117600</v>
      </c>
      <c r="J94" s="2000"/>
    </row>
    <row r="95" spans="1:10" ht="16.5" thickBot="1">
      <c r="A95" s="2005" t="s">
        <v>1339</v>
      </c>
      <c r="B95" s="2006" t="s">
        <v>1253</v>
      </c>
      <c r="C95" s="2006" t="s">
        <v>1253</v>
      </c>
      <c r="D95" s="2006">
        <v>168</v>
      </c>
      <c r="E95" s="2007">
        <v>164115</v>
      </c>
      <c r="F95" s="2006">
        <v>168</v>
      </c>
      <c r="G95" s="2007">
        <v>249270</v>
      </c>
      <c r="H95" s="2006">
        <v>140</v>
      </c>
      <c r="I95" s="2007">
        <v>134610</v>
      </c>
      <c r="J95" s="2000"/>
    </row>
    <row r="96" spans="1:10" ht="16.5" thickBot="1">
      <c r="A96" s="2005" t="s">
        <v>1340</v>
      </c>
      <c r="B96" s="2006" t="s">
        <v>1253</v>
      </c>
      <c r="C96" s="2006" t="s">
        <v>1253</v>
      </c>
      <c r="D96" s="2006">
        <v>205</v>
      </c>
      <c r="E96" s="2007">
        <v>198240</v>
      </c>
      <c r="F96" s="2006">
        <v>205</v>
      </c>
      <c r="G96" s="2007">
        <v>295785</v>
      </c>
      <c r="H96" s="2006">
        <v>168</v>
      </c>
      <c r="I96" s="2007">
        <v>164115</v>
      </c>
      <c r="J96" s="2000"/>
    </row>
    <row r="97" spans="1:10" ht="16.5" thickBot="1">
      <c r="A97" s="2005" t="s">
        <v>1293</v>
      </c>
      <c r="B97" s="2006" t="s">
        <v>1253</v>
      </c>
      <c r="C97" s="2006" t="s">
        <v>1253</v>
      </c>
      <c r="D97" s="2006">
        <v>261</v>
      </c>
      <c r="E97" s="2007">
        <v>238875</v>
      </c>
      <c r="F97" s="2006">
        <v>261</v>
      </c>
      <c r="G97" s="2007">
        <v>355425</v>
      </c>
      <c r="H97" s="2006">
        <v>205</v>
      </c>
      <c r="I97" s="2007">
        <v>198800</v>
      </c>
      <c r="J97" s="2000"/>
    </row>
    <row r="98" spans="1:10" ht="16.5" thickBot="1">
      <c r="A98" s="2005" t="s">
        <v>1295</v>
      </c>
      <c r="B98" s="2006" t="s">
        <v>1253</v>
      </c>
      <c r="C98" s="2006" t="s">
        <v>1253</v>
      </c>
      <c r="D98" s="2006">
        <v>300</v>
      </c>
      <c r="E98" s="2007">
        <v>274260</v>
      </c>
      <c r="F98" s="2010">
        <v>300</v>
      </c>
      <c r="G98" s="2011">
        <v>410445</v>
      </c>
      <c r="H98" s="2006">
        <v>261</v>
      </c>
      <c r="I98" s="2007">
        <v>238875</v>
      </c>
      <c r="J98" s="2000"/>
    </row>
    <row r="99" spans="1:10" ht="16.5" thickBot="1">
      <c r="A99" s="1810" t="s">
        <v>1297</v>
      </c>
      <c r="B99" s="1715" t="s">
        <v>1253</v>
      </c>
      <c r="C99" s="1715" t="s">
        <v>1253</v>
      </c>
      <c r="D99" s="2149" t="s">
        <v>1341</v>
      </c>
      <c r="E99" s="2150"/>
      <c r="F99" s="1873" t="s">
        <v>1342</v>
      </c>
      <c r="G99" s="1831"/>
      <c r="H99" s="2006">
        <v>300</v>
      </c>
      <c r="I99" s="2007">
        <v>274260</v>
      </c>
      <c r="J99" s="2000"/>
    </row>
    <row r="100" spans="1:10" ht="16.5" thickBot="1">
      <c r="A100" s="1714"/>
      <c r="B100" s="1716"/>
      <c r="C100" s="1716"/>
      <c r="D100" s="2006">
        <v>385</v>
      </c>
      <c r="E100" s="2007">
        <v>409710</v>
      </c>
      <c r="F100" s="2006">
        <v>385</v>
      </c>
      <c r="G100" s="2007">
        <v>345975</v>
      </c>
      <c r="H100" s="1873" t="s">
        <v>1341</v>
      </c>
      <c r="I100" s="1831"/>
      <c r="J100" s="2000"/>
    </row>
    <row r="101" spans="1:10" ht="16.5" thickBot="1">
      <c r="A101" s="2005" t="s">
        <v>1301</v>
      </c>
      <c r="B101" s="2006" t="s">
        <v>1253</v>
      </c>
      <c r="C101" s="2006" t="s">
        <v>1253</v>
      </c>
      <c r="D101" s="2006">
        <v>460</v>
      </c>
      <c r="E101" s="2007">
        <v>462945</v>
      </c>
      <c r="F101" s="2006">
        <v>460</v>
      </c>
      <c r="G101" s="2007">
        <v>428190</v>
      </c>
      <c r="H101" s="2006">
        <v>385</v>
      </c>
      <c r="I101" s="2007">
        <v>409710</v>
      </c>
      <c r="J101" s="2000"/>
    </row>
    <row r="102" spans="1:10" ht="16.5" thickBot="1">
      <c r="A102" s="2005" t="s">
        <v>1305</v>
      </c>
      <c r="B102" s="2006" t="s">
        <v>1253</v>
      </c>
      <c r="C102" s="2006" t="s">
        <v>1253</v>
      </c>
      <c r="D102" s="2006">
        <v>520</v>
      </c>
      <c r="E102" s="2007">
        <v>513555</v>
      </c>
      <c r="F102" s="2006">
        <v>520</v>
      </c>
      <c r="G102" s="2007">
        <v>476070</v>
      </c>
      <c r="H102" s="2006">
        <v>460</v>
      </c>
      <c r="I102" s="2007">
        <v>462945</v>
      </c>
      <c r="J102" s="2000"/>
    </row>
    <row r="103" spans="1:10" ht="16.5" thickBot="1">
      <c r="A103" s="2005" t="s">
        <v>1305</v>
      </c>
      <c r="B103" s="2006" t="s">
        <v>1253</v>
      </c>
      <c r="C103" s="2006" t="s">
        <v>1253</v>
      </c>
      <c r="D103" s="2006">
        <v>590</v>
      </c>
      <c r="E103" s="2007">
        <v>587160</v>
      </c>
      <c r="F103" s="2006">
        <v>590</v>
      </c>
      <c r="G103" s="2007">
        <v>522375</v>
      </c>
      <c r="H103" s="2006">
        <v>520</v>
      </c>
      <c r="I103" s="2007">
        <v>513555</v>
      </c>
      <c r="J103" s="2000"/>
    </row>
    <row r="104" spans="1:10" ht="16.5" thickBot="1">
      <c r="A104" s="2005" t="s">
        <v>1309</v>
      </c>
      <c r="B104" s="2006" t="s">
        <v>1253</v>
      </c>
      <c r="C104" s="2006" t="s">
        <v>1253</v>
      </c>
      <c r="D104" s="2006">
        <v>650</v>
      </c>
      <c r="E104" s="2007">
        <v>655515</v>
      </c>
      <c r="F104" s="2006">
        <v>650</v>
      </c>
      <c r="G104" s="2007">
        <v>578025</v>
      </c>
      <c r="H104" s="2006">
        <v>590</v>
      </c>
      <c r="I104" s="2007">
        <v>587160</v>
      </c>
      <c r="J104" s="2000"/>
    </row>
    <row r="105" spans="1:10" ht="18">
      <c r="A105" s="2012" t="s">
        <v>1311</v>
      </c>
      <c r="B105" s="1963"/>
      <c r="C105" s="1963"/>
      <c r="D105" s="1963"/>
      <c r="E105" s="1963"/>
      <c r="F105" s="1963"/>
      <c r="G105" s="1963"/>
      <c r="H105" s="1963"/>
      <c r="I105" s="1963"/>
      <c r="J105" s="1963"/>
    </row>
    <row r="106" ht="15">
      <c r="I106" s="1891" t="s">
        <v>1343</v>
      </c>
    </row>
    <row r="109" spans="1:13" s="2017" customFormat="1" ht="30.75" customHeight="1">
      <c r="A109" s="2153" t="s">
        <v>114</v>
      </c>
      <c r="B109" s="2153"/>
      <c r="C109" s="2153"/>
      <c r="D109" s="2153"/>
      <c r="E109" s="2153"/>
      <c r="F109" s="2153"/>
      <c r="G109" s="2153"/>
      <c r="H109" s="2153"/>
      <c r="I109" s="2153"/>
      <c r="J109" s="2015"/>
      <c r="K109" s="2016"/>
      <c r="L109" s="2016"/>
      <c r="M109" s="2016"/>
    </row>
    <row r="110" spans="1:13" s="2017" customFormat="1" ht="30.75" customHeight="1">
      <c r="A110" s="2153" t="s">
        <v>336</v>
      </c>
      <c r="B110" s="2153"/>
      <c r="C110" s="2153"/>
      <c r="D110" s="2153"/>
      <c r="E110" s="2153"/>
      <c r="F110" s="2153"/>
      <c r="G110" s="2153"/>
      <c r="H110" s="2153"/>
      <c r="I110" s="2153"/>
      <c r="J110" s="2015"/>
      <c r="K110" s="2016"/>
      <c r="L110" s="2016"/>
      <c r="M110" s="2016"/>
    </row>
    <row r="111" spans="1:13" s="2017" customFormat="1" ht="23.25">
      <c r="A111" s="2153" t="s">
        <v>1224</v>
      </c>
      <c r="B111" s="2153"/>
      <c r="C111" s="2153"/>
      <c r="D111" s="2153"/>
      <c r="E111" s="2153"/>
      <c r="F111" s="2153"/>
      <c r="G111" s="2153"/>
      <c r="H111" s="2153"/>
      <c r="I111" s="2153"/>
      <c r="J111" s="2015"/>
      <c r="K111" s="2016"/>
      <c r="L111" s="2016"/>
      <c r="M111" s="2016"/>
    </row>
    <row r="112" spans="1:13" s="2017" customFormat="1" ht="23.25">
      <c r="A112" s="2014"/>
      <c r="B112" s="2014"/>
      <c r="C112" s="2014"/>
      <c r="D112" s="2014"/>
      <c r="E112" s="2014"/>
      <c r="F112" s="2014"/>
      <c r="G112" s="2014"/>
      <c r="H112" s="2014"/>
      <c r="I112" s="2014"/>
      <c r="J112" s="2015"/>
      <c r="K112" s="2016"/>
      <c r="L112" s="2016"/>
      <c r="M112" s="2016"/>
    </row>
    <row r="113" spans="1:13" s="2017" customFormat="1" ht="18">
      <c r="A113" s="2018" t="s">
        <v>1225</v>
      </c>
      <c r="B113" s="2015"/>
      <c r="C113" s="2015"/>
      <c r="D113" s="2015"/>
      <c r="E113" s="2015"/>
      <c r="F113" s="2015"/>
      <c r="G113" s="2015"/>
      <c r="H113" s="2019" t="s">
        <v>149</v>
      </c>
      <c r="J113" s="2015"/>
      <c r="K113" s="2016"/>
      <c r="L113" s="2016"/>
      <c r="M113" s="2016"/>
    </row>
    <row r="114" spans="1:13" s="2017" customFormat="1" ht="18">
      <c r="A114" s="2019" t="s">
        <v>961</v>
      </c>
      <c r="B114" s="2015"/>
      <c r="C114" s="2015"/>
      <c r="D114" s="2015"/>
      <c r="E114" s="2015"/>
      <c r="F114" s="2015"/>
      <c r="G114" s="2015"/>
      <c r="H114" s="2019" t="s">
        <v>962</v>
      </c>
      <c r="J114" s="2015"/>
      <c r="K114" s="2016"/>
      <c r="L114" s="2016"/>
      <c r="M114" s="2016"/>
    </row>
    <row r="115" spans="1:13" s="2017" customFormat="1" ht="18">
      <c r="A115" s="2019"/>
      <c r="B115" s="2015"/>
      <c r="C115" s="2015"/>
      <c r="D115" s="2015"/>
      <c r="E115" s="2015"/>
      <c r="F115" s="2015"/>
      <c r="G115" s="2015"/>
      <c r="H115" s="2015"/>
      <c r="I115" s="2015"/>
      <c r="J115" s="2015"/>
      <c r="K115" s="2016"/>
      <c r="L115" s="2016"/>
      <c r="M115" s="2016"/>
    </row>
    <row r="116" spans="1:13" s="2017" customFormat="1" ht="35.25" customHeight="1">
      <c r="A116" s="2154" t="s">
        <v>1227</v>
      </c>
      <c r="B116" s="2154"/>
      <c r="C116" s="2154"/>
      <c r="D116" s="2154"/>
      <c r="E116" s="2154"/>
      <c r="F116" s="2154"/>
      <c r="G116" s="2154"/>
      <c r="H116" s="2154"/>
      <c r="I116" s="2154"/>
      <c r="J116" s="2015"/>
      <c r="K116" s="2016"/>
      <c r="L116" s="2016"/>
      <c r="M116" s="2016"/>
    </row>
    <row r="117" spans="1:13" s="2017" customFormat="1" ht="18">
      <c r="A117" s="2019" t="s">
        <v>1344</v>
      </c>
      <c r="B117" s="2015"/>
      <c r="C117" s="2015"/>
      <c r="D117" s="2015"/>
      <c r="E117" s="2015"/>
      <c r="F117" s="2015"/>
      <c r="G117" s="2015"/>
      <c r="H117" s="2015"/>
      <c r="I117" s="2015"/>
      <c r="J117" s="2015"/>
      <c r="K117" s="2016"/>
      <c r="L117" s="2016"/>
      <c r="M117" s="2016"/>
    </row>
    <row r="118" spans="1:13" s="2017" customFormat="1" ht="57" customHeight="1">
      <c r="A118" s="2152" t="s">
        <v>1359</v>
      </c>
      <c r="B118" s="2152"/>
      <c r="C118" s="2152"/>
      <c r="D118" s="2152"/>
      <c r="E118" s="2152"/>
      <c r="F118" s="2152"/>
      <c r="G118" s="2152"/>
      <c r="H118" s="2152"/>
      <c r="I118" s="2152"/>
      <c r="J118" s="2015"/>
      <c r="K118" s="2016"/>
      <c r="L118" s="2016"/>
      <c r="M118" s="2016"/>
    </row>
    <row r="119" spans="1:13" s="2017" customFormat="1" ht="18" customHeight="1">
      <c r="A119" s="2148" t="s">
        <v>1371</v>
      </c>
      <c r="B119" s="2148"/>
      <c r="C119" s="2148"/>
      <c r="D119" s="2148"/>
      <c r="E119" s="2148"/>
      <c r="F119" s="2148"/>
      <c r="G119" s="2148"/>
      <c r="H119" s="2148"/>
      <c r="I119" s="2148"/>
      <c r="J119" s="2015"/>
      <c r="K119" s="2016"/>
      <c r="L119" s="2016"/>
      <c r="M119" s="2016"/>
    </row>
    <row r="120" spans="1:13" s="2017" customFormat="1" ht="52.5" customHeight="1">
      <c r="A120" s="1653" t="s">
        <v>1345</v>
      </c>
      <c r="B120" s="1653"/>
      <c r="C120" s="1653"/>
      <c r="D120" s="1653"/>
      <c r="E120" s="1653"/>
      <c r="F120" s="1653"/>
      <c r="G120" s="1653"/>
      <c r="H120" s="1653"/>
      <c r="I120" s="1653"/>
      <c r="J120" s="2015"/>
      <c r="K120" s="2016"/>
      <c r="L120" s="2016"/>
      <c r="M120" s="2016"/>
    </row>
    <row r="121" spans="1:13" s="2017" customFormat="1" ht="40.5" customHeight="1">
      <c r="A121" s="1653" t="s">
        <v>1346</v>
      </c>
      <c r="B121" s="1653"/>
      <c r="C121" s="1653"/>
      <c r="D121" s="1653"/>
      <c r="E121" s="1653"/>
      <c r="F121" s="1653"/>
      <c r="G121" s="1653"/>
      <c r="H121" s="1653"/>
      <c r="I121" s="1653"/>
      <c r="J121" s="2015"/>
      <c r="K121" s="2016"/>
      <c r="L121" s="2016"/>
      <c r="M121" s="2016"/>
    </row>
    <row r="122" spans="1:13" s="2017" customFormat="1" ht="39" customHeight="1">
      <c r="A122" s="2152" t="s">
        <v>1360</v>
      </c>
      <c r="B122" s="2152"/>
      <c r="C122" s="2152"/>
      <c r="D122" s="2152"/>
      <c r="E122" s="2152"/>
      <c r="F122" s="2152"/>
      <c r="G122" s="2152"/>
      <c r="H122" s="2152"/>
      <c r="I122" s="2152"/>
      <c r="J122" s="2015"/>
      <c r="K122" s="2016"/>
      <c r="L122" s="2016"/>
      <c r="M122" s="2016"/>
    </row>
    <row r="123" spans="1:13" s="2017" customFormat="1" ht="68.25" customHeight="1">
      <c r="A123" s="1653" t="s">
        <v>1372</v>
      </c>
      <c r="B123" s="1653"/>
      <c r="C123" s="1653"/>
      <c r="D123" s="1653"/>
      <c r="E123" s="1653"/>
      <c r="F123" s="1653"/>
      <c r="G123" s="1653"/>
      <c r="H123" s="1653"/>
      <c r="I123" s="1653"/>
      <c r="J123" s="2015"/>
      <c r="K123" s="2016"/>
      <c r="L123" s="2016"/>
      <c r="M123" s="2016"/>
    </row>
    <row r="124" spans="1:13" s="2017" customFormat="1" ht="36.75" customHeight="1" thickBot="1">
      <c r="A124" s="2151" t="s">
        <v>1317</v>
      </c>
      <c r="B124" s="2151"/>
      <c r="C124" s="2151"/>
      <c r="D124" s="2151"/>
      <c r="E124" s="2151"/>
      <c r="F124" s="2151"/>
      <c r="G124" s="2151"/>
      <c r="H124" s="2151"/>
      <c r="I124" s="2020"/>
      <c r="J124" s="2015"/>
      <c r="K124" s="2016"/>
      <c r="L124" s="2016"/>
      <c r="M124" s="2016"/>
    </row>
    <row r="125" spans="1:10" ht="16.5" thickBot="1">
      <c r="A125" s="1715" t="s">
        <v>1230</v>
      </c>
      <c r="B125" s="1647" t="s">
        <v>1318</v>
      </c>
      <c r="C125" s="1654"/>
      <c r="D125" s="1654"/>
      <c r="E125" s="1654"/>
      <c r="F125" s="1654"/>
      <c r="G125" s="1648"/>
      <c r="H125" s="1633" t="s">
        <v>1319</v>
      </c>
      <c r="I125" s="1634"/>
      <c r="J125" s="2000"/>
    </row>
    <row r="126" spans="1:10" ht="16.5" thickBot="1">
      <c r="A126" s="1632"/>
      <c r="B126" s="1647" t="s">
        <v>1320</v>
      </c>
      <c r="C126" s="1648"/>
      <c r="D126" s="1647" t="s">
        <v>1321</v>
      </c>
      <c r="E126" s="1648"/>
      <c r="F126" s="1647" t="s">
        <v>1322</v>
      </c>
      <c r="G126" s="1648"/>
      <c r="H126" s="1635"/>
      <c r="I126" s="1636"/>
      <c r="J126" s="2000"/>
    </row>
    <row r="127" spans="1:10" ht="12.75">
      <c r="A127" s="1632"/>
      <c r="B127" s="1715" t="s">
        <v>1231</v>
      </c>
      <c r="C127" s="1715" t="s">
        <v>1361</v>
      </c>
      <c r="D127" s="1715" t="s">
        <v>1231</v>
      </c>
      <c r="E127" s="1715" t="s">
        <v>1362</v>
      </c>
      <c r="F127" s="1715" t="s">
        <v>1231</v>
      </c>
      <c r="G127" s="1715" t="s">
        <v>1363</v>
      </c>
      <c r="H127" s="1715" t="s">
        <v>1231</v>
      </c>
      <c r="I127" s="1715" t="s">
        <v>1364</v>
      </c>
      <c r="J127" s="2000"/>
    </row>
    <row r="128" spans="1:10" ht="13.5" thickBot="1">
      <c r="A128" s="1716"/>
      <c r="B128" s="1716"/>
      <c r="C128" s="1716"/>
      <c r="D128" s="1716"/>
      <c r="E128" s="1716"/>
      <c r="F128" s="1716"/>
      <c r="G128" s="1716"/>
      <c r="H128" s="1716"/>
      <c r="I128" s="1716"/>
      <c r="J128" s="2000"/>
    </row>
    <row r="129" spans="1:10" ht="18.75" thickBot="1">
      <c r="A129" s="2005" t="s">
        <v>1323</v>
      </c>
      <c r="B129" s="2006">
        <v>1</v>
      </c>
      <c r="C129" s="2021">
        <v>7665</v>
      </c>
      <c r="D129" s="2008" t="s">
        <v>1253</v>
      </c>
      <c r="E129" s="2008" t="s">
        <v>1253</v>
      </c>
      <c r="F129" s="2008" t="s">
        <v>1253</v>
      </c>
      <c r="G129" s="2008" t="s">
        <v>1253</v>
      </c>
      <c r="H129" s="1832" t="s">
        <v>1347</v>
      </c>
      <c r="I129" s="1833"/>
      <c r="J129" s="2000"/>
    </row>
    <row r="130" spans="1:10" ht="16.5" thickBot="1">
      <c r="A130" s="2005" t="s">
        <v>1325</v>
      </c>
      <c r="B130" s="2006">
        <v>2</v>
      </c>
      <c r="C130" s="2021">
        <v>8295</v>
      </c>
      <c r="D130" s="2008" t="s">
        <v>1253</v>
      </c>
      <c r="E130" s="2008" t="s">
        <v>1253</v>
      </c>
      <c r="F130" s="2008" t="s">
        <v>1253</v>
      </c>
      <c r="G130" s="2008" t="s">
        <v>1253</v>
      </c>
      <c r="H130" s="2006">
        <v>1</v>
      </c>
      <c r="I130" s="2021">
        <v>7665</v>
      </c>
      <c r="J130" s="2000"/>
    </row>
    <row r="131" spans="1:10" ht="16.5" thickBot="1">
      <c r="A131" s="2005" t="s">
        <v>1242</v>
      </c>
      <c r="B131" s="2006">
        <v>3</v>
      </c>
      <c r="C131" s="2021">
        <v>10080</v>
      </c>
      <c r="D131" s="2006">
        <v>3</v>
      </c>
      <c r="E131" s="2021">
        <v>25515</v>
      </c>
      <c r="F131" s="2008">
        <v>3</v>
      </c>
      <c r="G131" s="2022">
        <v>34020</v>
      </c>
      <c r="H131" s="2006">
        <v>2</v>
      </c>
      <c r="I131" s="2021">
        <v>8295</v>
      </c>
      <c r="J131" s="2000"/>
    </row>
    <row r="132" spans="1:10" ht="16.5" thickBot="1">
      <c r="A132" s="2005" t="s">
        <v>1326</v>
      </c>
      <c r="B132" s="2006">
        <v>4</v>
      </c>
      <c r="C132" s="2021">
        <v>10815</v>
      </c>
      <c r="D132" s="2006">
        <v>4</v>
      </c>
      <c r="E132" s="2021">
        <v>28035</v>
      </c>
      <c r="F132" s="2008">
        <v>4</v>
      </c>
      <c r="G132" s="2022">
        <v>36540</v>
      </c>
      <c r="H132" s="2006">
        <v>3</v>
      </c>
      <c r="I132" s="2021">
        <v>10080</v>
      </c>
      <c r="J132" s="2000"/>
    </row>
    <row r="133" spans="1:10" ht="16.5" thickBot="1">
      <c r="A133" s="2005" t="s">
        <v>1236</v>
      </c>
      <c r="B133" s="2006">
        <v>5</v>
      </c>
      <c r="C133" s="2021">
        <v>11970</v>
      </c>
      <c r="D133" s="2006">
        <v>5</v>
      </c>
      <c r="E133" s="2021">
        <v>29400</v>
      </c>
      <c r="F133" s="2008">
        <v>5</v>
      </c>
      <c r="G133" s="2022">
        <v>36960</v>
      </c>
      <c r="H133" s="2006">
        <v>4</v>
      </c>
      <c r="I133" s="2021">
        <v>10815</v>
      </c>
      <c r="J133" s="2000"/>
    </row>
    <row r="134" spans="1:10" ht="16.5" thickBot="1">
      <c r="A134" s="2005" t="s">
        <v>1240</v>
      </c>
      <c r="B134" s="2006">
        <v>7</v>
      </c>
      <c r="C134" s="2021">
        <v>16695</v>
      </c>
      <c r="D134" s="2006">
        <v>7</v>
      </c>
      <c r="E134" s="2021">
        <v>30870</v>
      </c>
      <c r="F134" s="2008">
        <v>7</v>
      </c>
      <c r="G134" s="2022">
        <v>39375</v>
      </c>
      <c r="H134" s="2006">
        <v>5</v>
      </c>
      <c r="I134" s="2021">
        <v>11970</v>
      </c>
      <c r="J134" s="2000"/>
    </row>
    <row r="135" spans="1:10" ht="16.5" thickBot="1">
      <c r="A135" s="2005" t="s">
        <v>1327</v>
      </c>
      <c r="B135" s="2006">
        <v>9</v>
      </c>
      <c r="C135" s="2021">
        <v>18375</v>
      </c>
      <c r="D135" s="2006">
        <v>9</v>
      </c>
      <c r="E135" s="2021">
        <v>33180</v>
      </c>
      <c r="F135" s="2008">
        <v>9</v>
      </c>
      <c r="G135" s="2022">
        <v>41790</v>
      </c>
      <c r="H135" s="2006">
        <v>7</v>
      </c>
      <c r="I135" s="2021">
        <v>16695</v>
      </c>
      <c r="J135" s="2000"/>
    </row>
    <row r="136" spans="1:10" ht="16.5" thickBot="1">
      <c r="A136" s="2005" t="s">
        <v>1328</v>
      </c>
      <c r="B136" s="2006">
        <v>12</v>
      </c>
      <c r="C136" s="2021">
        <v>20580</v>
      </c>
      <c r="D136" s="2006">
        <v>12</v>
      </c>
      <c r="E136" s="2021">
        <v>37590</v>
      </c>
      <c r="F136" s="2008">
        <v>12</v>
      </c>
      <c r="G136" s="2022">
        <v>47145</v>
      </c>
      <c r="H136" s="2006">
        <v>9</v>
      </c>
      <c r="I136" s="2021">
        <v>18375</v>
      </c>
      <c r="J136" s="2000"/>
    </row>
    <row r="137" spans="1:10" ht="16.5" thickBot="1">
      <c r="A137" s="2005" t="s">
        <v>1329</v>
      </c>
      <c r="B137" s="2006">
        <v>16</v>
      </c>
      <c r="C137" s="2021">
        <v>25515</v>
      </c>
      <c r="D137" s="2006">
        <v>16</v>
      </c>
      <c r="E137" s="2021">
        <v>44835</v>
      </c>
      <c r="F137" s="2008">
        <v>16</v>
      </c>
      <c r="G137" s="2022">
        <v>54390</v>
      </c>
      <c r="H137" s="2006">
        <v>12</v>
      </c>
      <c r="I137" s="2021">
        <v>20580</v>
      </c>
      <c r="J137" s="2000"/>
    </row>
    <row r="138" spans="1:10" ht="16.5" thickBot="1">
      <c r="A138" s="2005" t="s">
        <v>1330</v>
      </c>
      <c r="B138" s="2006">
        <v>23</v>
      </c>
      <c r="C138" s="2021">
        <v>31290</v>
      </c>
      <c r="D138" s="2006">
        <v>22</v>
      </c>
      <c r="E138" s="2021">
        <v>54810</v>
      </c>
      <c r="F138" s="2008">
        <v>22</v>
      </c>
      <c r="G138" s="2022">
        <v>64365</v>
      </c>
      <c r="H138" s="2006">
        <v>16</v>
      </c>
      <c r="I138" s="2021">
        <v>25515</v>
      </c>
      <c r="J138" s="2000"/>
    </row>
    <row r="139" spans="1:10" ht="16.5" thickBot="1">
      <c r="A139" s="2005" t="s">
        <v>1331</v>
      </c>
      <c r="B139" s="2006">
        <v>31</v>
      </c>
      <c r="C139" s="2021">
        <v>38535</v>
      </c>
      <c r="D139" s="2006">
        <v>31</v>
      </c>
      <c r="E139" s="2021">
        <v>65940</v>
      </c>
      <c r="F139" s="2008">
        <v>31</v>
      </c>
      <c r="G139" s="2022">
        <v>75495</v>
      </c>
      <c r="H139" s="2006">
        <v>23</v>
      </c>
      <c r="I139" s="2021">
        <v>31290</v>
      </c>
      <c r="J139" s="2000"/>
    </row>
    <row r="140" spans="1:10" ht="16.5" thickBot="1">
      <c r="A140" s="2005" t="s">
        <v>1332</v>
      </c>
      <c r="B140" s="2006">
        <v>38</v>
      </c>
      <c r="C140" s="2021">
        <v>46515</v>
      </c>
      <c r="D140" s="2006">
        <v>38</v>
      </c>
      <c r="E140" s="2021">
        <v>77805</v>
      </c>
      <c r="F140" s="2008">
        <v>38</v>
      </c>
      <c r="G140" s="2022">
        <v>91770</v>
      </c>
      <c r="H140" s="2006">
        <v>31</v>
      </c>
      <c r="I140" s="2021">
        <v>38525</v>
      </c>
      <c r="J140" s="2000"/>
    </row>
    <row r="141" spans="1:10" ht="16.5" thickBot="1">
      <c r="A141" s="2005" t="s">
        <v>1277</v>
      </c>
      <c r="B141" s="2006">
        <v>46</v>
      </c>
      <c r="C141" s="2021">
        <v>54915</v>
      </c>
      <c r="D141" s="2006">
        <v>46</v>
      </c>
      <c r="E141" s="2021">
        <v>88410</v>
      </c>
      <c r="F141" s="2008">
        <v>46</v>
      </c>
      <c r="G141" s="2022">
        <v>98070</v>
      </c>
      <c r="H141" s="2006">
        <v>38</v>
      </c>
      <c r="I141" s="2021">
        <v>46515</v>
      </c>
      <c r="J141" s="2000"/>
    </row>
    <row r="142" spans="1:10" ht="16.5" thickBot="1">
      <c r="A142" s="2005" t="s">
        <v>1333</v>
      </c>
      <c r="B142" s="2006">
        <v>61</v>
      </c>
      <c r="C142" s="2021">
        <v>64155</v>
      </c>
      <c r="D142" s="2006">
        <v>61</v>
      </c>
      <c r="E142" s="2021">
        <v>102480</v>
      </c>
      <c r="F142" s="2008">
        <v>61</v>
      </c>
      <c r="G142" s="2022">
        <v>112035</v>
      </c>
      <c r="H142" s="2006">
        <v>46</v>
      </c>
      <c r="I142" s="2021">
        <v>54915</v>
      </c>
      <c r="J142" s="2000"/>
    </row>
    <row r="143" spans="1:10" ht="16.5" thickBot="1">
      <c r="A143" s="2005" t="s">
        <v>1334</v>
      </c>
      <c r="B143" s="2006" t="s">
        <v>1253</v>
      </c>
      <c r="C143" s="2006" t="s">
        <v>1253</v>
      </c>
      <c r="D143" s="2008">
        <v>72</v>
      </c>
      <c r="E143" s="2021">
        <v>127155</v>
      </c>
      <c r="F143" s="2008">
        <v>72</v>
      </c>
      <c r="G143" s="2022">
        <v>136815</v>
      </c>
      <c r="H143" s="2006">
        <v>61</v>
      </c>
      <c r="I143" s="2021">
        <v>64155</v>
      </c>
      <c r="J143" s="2000"/>
    </row>
    <row r="144" spans="1:10" ht="18.75" thickBot="1">
      <c r="A144" s="2005"/>
      <c r="B144" s="2006" t="s">
        <v>1253</v>
      </c>
      <c r="C144" s="2006" t="s">
        <v>1253</v>
      </c>
      <c r="D144" s="2006"/>
      <c r="E144" s="2009" t="s">
        <v>465</v>
      </c>
      <c r="F144" s="2006"/>
      <c r="G144" s="2009"/>
      <c r="H144" s="1832" t="s">
        <v>1348</v>
      </c>
      <c r="I144" s="1833"/>
      <c r="J144" s="2000"/>
    </row>
    <row r="145" spans="1:10" ht="16.5" thickBot="1">
      <c r="A145" s="2005" t="s">
        <v>1336</v>
      </c>
      <c r="B145" s="2006" t="s">
        <v>1253</v>
      </c>
      <c r="C145" s="2006" t="s">
        <v>1253</v>
      </c>
      <c r="D145" s="2006">
        <v>87</v>
      </c>
      <c r="E145" s="2021">
        <v>154455</v>
      </c>
      <c r="F145" s="2008">
        <v>87</v>
      </c>
      <c r="G145" s="2022">
        <v>164115</v>
      </c>
      <c r="H145" s="2006">
        <v>72</v>
      </c>
      <c r="I145" s="2021">
        <v>127155</v>
      </c>
      <c r="J145" s="2000"/>
    </row>
    <row r="146" spans="1:10" ht="16.5" thickBot="1">
      <c r="A146" s="2005" t="s">
        <v>1337</v>
      </c>
      <c r="B146" s="2006" t="s">
        <v>1253</v>
      </c>
      <c r="C146" s="2006" t="s">
        <v>1253</v>
      </c>
      <c r="D146" s="2006">
        <v>105</v>
      </c>
      <c r="E146" s="2021">
        <v>178290</v>
      </c>
      <c r="F146" s="2008">
        <v>105</v>
      </c>
      <c r="G146" s="2022">
        <v>187950</v>
      </c>
      <c r="H146" s="2006">
        <v>87</v>
      </c>
      <c r="I146" s="2021">
        <v>154455</v>
      </c>
      <c r="J146" s="2000"/>
    </row>
    <row r="147" spans="1:10" ht="16.5" thickBot="1">
      <c r="A147" s="2005" t="s">
        <v>1338</v>
      </c>
      <c r="B147" s="2006" t="s">
        <v>1253</v>
      </c>
      <c r="C147" s="2006" t="s">
        <v>1253</v>
      </c>
      <c r="D147" s="2006">
        <v>140</v>
      </c>
      <c r="E147" s="2021">
        <v>206430</v>
      </c>
      <c r="F147" s="2008">
        <v>140</v>
      </c>
      <c r="G147" s="2022">
        <v>221340</v>
      </c>
      <c r="H147" s="2006">
        <v>105</v>
      </c>
      <c r="I147" s="2021">
        <v>178290</v>
      </c>
      <c r="J147" s="2000"/>
    </row>
    <row r="148" spans="1:10" ht="16.5" thickBot="1">
      <c r="A148" s="2005" t="s">
        <v>1339</v>
      </c>
      <c r="B148" s="2006" t="s">
        <v>1253</v>
      </c>
      <c r="C148" s="2006" t="s">
        <v>1253</v>
      </c>
      <c r="D148" s="2006">
        <v>168</v>
      </c>
      <c r="E148" s="2021">
        <v>243390</v>
      </c>
      <c r="F148" s="2008">
        <v>168</v>
      </c>
      <c r="G148" s="2022">
        <v>258195</v>
      </c>
      <c r="H148" s="2006">
        <v>140</v>
      </c>
      <c r="I148" s="2021">
        <v>206430</v>
      </c>
      <c r="J148" s="2000"/>
    </row>
    <row r="149" spans="1:10" ht="16.5" thickBot="1">
      <c r="A149" s="2005" t="s">
        <v>1340</v>
      </c>
      <c r="B149" s="2006" t="s">
        <v>1253</v>
      </c>
      <c r="C149" s="2006" t="s">
        <v>1253</v>
      </c>
      <c r="D149" s="2006">
        <v>205</v>
      </c>
      <c r="E149" s="2021">
        <v>291585</v>
      </c>
      <c r="F149" s="2008">
        <v>205</v>
      </c>
      <c r="G149" s="2022">
        <v>306390</v>
      </c>
      <c r="H149" s="2006">
        <v>168</v>
      </c>
      <c r="I149" s="2021">
        <v>243390</v>
      </c>
      <c r="J149" s="2000"/>
    </row>
    <row r="150" spans="1:10" ht="16.5" thickBot="1">
      <c r="A150" s="2005" t="s">
        <v>1293</v>
      </c>
      <c r="B150" s="2006" t="s">
        <v>1253</v>
      </c>
      <c r="C150" s="2006" t="s">
        <v>1253</v>
      </c>
      <c r="D150" s="2006">
        <v>261</v>
      </c>
      <c r="E150" s="2021">
        <v>353430</v>
      </c>
      <c r="F150" s="2008">
        <v>261</v>
      </c>
      <c r="G150" s="2022">
        <v>400470</v>
      </c>
      <c r="H150" s="2006">
        <v>205</v>
      </c>
      <c r="I150" s="2021">
        <v>291585</v>
      </c>
      <c r="J150" s="2000"/>
    </row>
    <row r="151" spans="1:10" ht="16.5" thickBot="1">
      <c r="A151" s="2005" t="s">
        <v>1295</v>
      </c>
      <c r="B151" s="2006" t="s">
        <v>1253</v>
      </c>
      <c r="C151" s="2006" t="s">
        <v>1253</v>
      </c>
      <c r="D151" s="2006">
        <v>300</v>
      </c>
      <c r="E151" s="2021">
        <v>410445</v>
      </c>
      <c r="F151" s="2023">
        <v>300</v>
      </c>
      <c r="G151" s="2024">
        <v>462525</v>
      </c>
      <c r="H151" s="2006">
        <v>261</v>
      </c>
      <c r="I151" s="2021">
        <v>253430</v>
      </c>
      <c r="J151" s="2000"/>
    </row>
    <row r="152" spans="1:10" ht="16.5" thickBot="1">
      <c r="A152" s="1810" t="s">
        <v>1297</v>
      </c>
      <c r="B152" s="1715" t="s">
        <v>1253</v>
      </c>
      <c r="C152" s="1715" t="s">
        <v>1253</v>
      </c>
      <c r="D152" s="1649" t="s">
        <v>1341</v>
      </c>
      <c r="E152" s="1650"/>
      <c r="F152" s="1650"/>
      <c r="G152" s="1651"/>
      <c r="H152" s="2006">
        <v>300</v>
      </c>
      <c r="I152" s="2021">
        <v>410445</v>
      </c>
      <c r="J152" s="2000"/>
    </row>
    <row r="153" spans="1:10" ht="16.5" thickBot="1">
      <c r="A153" s="1714"/>
      <c r="B153" s="1716"/>
      <c r="C153" s="1716"/>
      <c r="D153" s="2006">
        <v>385</v>
      </c>
      <c r="E153" s="2022">
        <v>510090</v>
      </c>
      <c r="F153" s="2006">
        <v>385</v>
      </c>
      <c r="G153" s="2022">
        <v>510090</v>
      </c>
      <c r="H153" s="1873" t="s">
        <v>1341</v>
      </c>
      <c r="I153" s="1831"/>
      <c r="J153" s="2000"/>
    </row>
    <row r="154" spans="1:10" ht="16.5" thickBot="1">
      <c r="A154" s="2005" t="s">
        <v>1301</v>
      </c>
      <c r="B154" s="2006" t="s">
        <v>1253</v>
      </c>
      <c r="C154" s="2006" t="s">
        <v>1253</v>
      </c>
      <c r="D154" s="2006">
        <v>460</v>
      </c>
      <c r="E154" s="2022">
        <v>572250</v>
      </c>
      <c r="F154" s="2006">
        <v>460</v>
      </c>
      <c r="G154" s="2022">
        <v>572250</v>
      </c>
      <c r="H154" s="2006">
        <v>385</v>
      </c>
      <c r="I154" s="2021">
        <v>510090</v>
      </c>
      <c r="J154" s="2000"/>
    </row>
    <row r="155" spans="1:10" ht="16.5" thickBot="1">
      <c r="A155" s="2005" t="s">
        <v>1305</v>
      </c>
      <c r="B155" s="2006" t="s">
        <v>1253</v>
      </c>
      <c r="C155" s="2006" t="s">
        <v>1253</v>
      </c>
      <c r="D155" s="2006">
        <v>520</v>
      </c>
      <c r="E155" s="2022">
        <v>634515</v>
      </c>
      <c r="F155" s="2006">
        <v>520</v>
      </c>
      <c r="G155" s="2022">
        <v>634515</v>
      </c>
      <c r="H155" s="2006">
        <v>460</v>
      </c>
      <c r="I155" s="2021">
        <v>572250</v>
      </c>
      <c r="J155" s="2000"/>
    </row>
    <row r="156" spans="1:10" ht="16.5" thickBot="1">
      <c r="A156" s="2005" t="s">
        <v>1305</v>
      </c>
      <c r="B156" s="2006" t="s">
        <v>1253</v>
      </c>
      <c r="C156" s="2006" t="s">
        <v>1253</v>
      </c>
      <c r="D156" s="2006">
        <v>590</v>
      </c>
      <c r="E156" s="2022">
        <v>743820</v>
      </c>
      <c r="F156" s="2006">
        <v>590</v>
      </c>
      <c r="G156" s="2022">
        <v>743820</v>
      </c>
      <c r="H156" s="2006">
        <v>520</v>
      </c>
      <c r="I156" s="2021">
        <v>634515</v>
      </c>
      <c r="J156" s="2000"/>
    </row>
    <row r="157" spans="1:10" ht="16.5" thickBot="1">
      <c r="A157" s="2005" t="s">
        <v>1309</v>
      </c>
      <c r="B157" s="2006" t="s">
        <v>1253</v>
      </c>
      <c r="C157" s="2006" t="s">
        <v>1253</v>
      </c>
      <c r="D157" s="2006">
        <v>650</v>
      </c>
      <c r="E157" s="2022">
        <v>816165</v>
      </c>
      <c r="F157" s="2006">
        <v>650</v>
      </c>
      <c r="G157" s="2022">
        <v>816165</v>
      </c>
      <c r="H157" s="2006">
        <v>590</v>
      </c>
      <c r="I157" s="2021">
        <v>743820</v>
      </c>
      <c r="J157" s="2000"/>
    </row>
    <row r="158" spans="1:10" ht="16.5" thickBot="1">
      <c r="A158" s="2005"/>
      <c r="B158" s="2006" t="s">
        <v>1253</v>
      </c>
      <c r="C158" s="2006" t="s">
        <v>1253</v>
      </c>
      <c r="D158" s="2006"/>
      <c r="E158" s="2009"/>
      <c r="F158" s="1873" t="s">
        <v>1342</v>
      </c>
      <c r="G158" s="1831"/>
      <c r="H158" s="1647" t="s">
        <v>1349</v>
      </c>
      <c r="I158" s="1648"/>
      <c r="J158" s="2000"/>
    </row>
    <row r="159" spans="1:10" ht="16.5" thickBot="1">
      <c r="A159" s="2005" t="s">
        <v>1297</v>
      </c>
      <c r="B159" s="2006" t="s">
        <v>1253</v>
      </c>
      <c r="C159" s="2006" t="s">
        <v>1253</v>
      </c>
      <c r="D159" s="2006" t="s">
        <v>1253</v>
      </c>
      <c r="E159" s="2006" t="s">
        <v>1253</v>
      </c>
      <c r="F159" s="2006">
        <v>385</v>
      </c>
      <c r="G159" s="2022">
        <v>537180</v>
      </c>
      <c r="H159" s="1873" t="s">
        <v>1350</v>
      </c>
      <c r="I159" s="1831"/>
      <c r="J159" s="2000"/>
    </row>
    <row r="160" spans="1:10" ht="16.5" thickBot="1">
      <c r="A160" s="2005" t="s">
        <v>1301</v>
      </c>
      <c r="B160" s="2006" t="s">
        <v>1253</v>
      </c>
      <c r="C160" s="2006" t="s">
        <v>1253</v>
      </c>
      <c r="D160" s="2006" t="s">
        <v>1253</v>
      </c>
      <c r="E160" s="2006" t="s">
        <v>1253</v>
      </c>
      <c r="F160" s="2006">
        <v>460</v>
      </c>
      <c r="G160" s="2022">
        <v>604905</v>
      </c>
      <c r="H160" s="2006">
        <v>385</v>
      </c>
      <c r="I160" s="2021">
        <v>537180</v>
      </c>
      <c r="J160" s="2000"/>
    </row>
    <row r="161" spans="1:10" ht="16.5" thickBot="1">
      <c r="A161" s="2005" t="s">
        <v>1305</v>
      </c>
      <c r="B161" s="2006" t="s">
        <v>1253</v>
      </c>
      <c r="C161" s="2006" t="s">
        <v>1253</v>
      </c>
      <c r="D161" s="2006" t="s">
        <v>1253</v>
      </c>
      <c r="E161" s="2006" t="s">
        <v>1253</v>
      </c>
      <c r="F161" s="2006">
        <v>520</v>
      </c>
      <c r="G161" s="2022">
        <v>672525</v>
      </c>
      <c r="H161" s="2006">
        <v>460</v>
      </c>
      <c r="I161" s="2021">
        <v>604905</v>
      </c>
      <c r="J161" s="2000"/>
    </row>
    <row r="162" spans="1:10" ht="16.5" thickBot="1">
      <c r="A162" s="2005" t="s">
        <v>1305</v>
      </c>
      <c r="B162" s="2006" t="s">
        <v>1253</v>
      </c>
      <c r="C162" s="2006" t="s">
        <v>1253</v>
      </c>
      <c r="D162" s="2006" t="s">
        <v>1253</v>
      </c>
      <c r="E162" s="2006" t="s">
        <v>1253</v>
      </c>
      <c r="F162" s="2006">
        <v>590</v>
      </c>
      <c r="G162" s="2022">
        <v>738045</v>
      </c>
      <c r="H162" s="2006">
        <v>520</v>
      </c>
      <c r="I162" s="2021">
        <v>672525</v>
      </c>
      <c r="J162" s="2000"/>
    </row>
    <row r="163" spans="1:10" ht="16.5" thickBot="1">
      <c r="A163" s="2005" t="s">
        <v>1309</v>
      </c>
      <c r="B163" s="2006" t="s">
        <v>1253</v>
      </c>
      <c r="C163" s="2006" t="s">
        <v>1253</v>
      </c>
      <c r="D163" s="2006" t="s">
        <v>1253</v>
      </c>
      <c r="E163" s="2006" t="s">
        <v>1253</v>
      </c>
      <c r="F163" s="2006" t="s">
        <v>1253</v>
      </c>
      <c r="G163" s="2006" t="s">
        <v>1253</v>
      </c>
      <c r="H163" s="2006">
        <v>590</v>
      </c>
      <c r="I163" s="2021">
        <v>738045</v>
      </c>
      <c r="J163" s="2000"/>
    </row>
    <row r="164" spans="1:10" ht="18">
      <c r="A164" s="2012" t="s">
        <v>1351</v>
      </c>
      <c r="B164" s="1963"/>
      <c r="C164" s="1963"/>
      <c r="D164" s="1963"/>
      <c r="E164" s="1963"/>
      <c r="F164" s="1963"/>
      <c r="G164" s="1963"/>
      <c r="H164" s="1963"/>
      <c r="I164" s="1963"/>
      <c r="J164" s="1963"/>
    </row>
  </sheetData>
  <sheetProtection/>
  <mergeCells count="96">
    <mergeCell ref="A124:H124"/>
    <mergeCell ref="A120:I120"/>
    <mergeCell ref="A118:I118"/>
    <mergeCell ref="A109:I109"/>
    <mergeCell ref="A110:I110"/>
    <mergeCell ref="A111:I111"/>
    <mergeCell ref="A116:I116"/>
    <mergeCell ref="A122:I122"/>
    <mergeCell ref="A123:I123"/>
    <mergeCell ref="I74:I75"/>
    <mergeCell ref="A119:I119"/>
    <mergeCell ref="A121:I121"/>
    <mergeCell ref="C99:C100"/>
    <mergeCell ref="D99:E99"/>
    <mergeCell ref="F99:G99"/>
    <mergeCell ref="H100:I100"/>
    <mergeCell ref="H91:I91"/>
    <mergeCell ref="A99:A100"/>
    <mergeCell ref="H23:H24"/>
    <mergeCell ref="D73:E73"/>
    <mergeCell ref="F73:G73"/>
    <mergeCell ref="B74:B75"/>
    <mergeCell ref="C74:C75"/>
    <mergeCell ref="D74:D75"/>
    <mergeCell ref="E74:E75"/>
    <mergeCell ref="F74:F75"/>
    <mergeCell ref="G74:G75"/>
    <mergeCell ref="H74:H75"/>
    <mergeCell ref="B22:G22"/>
    <mergeCell ref="E15:E17"/>
    <mergeCell ref="C23:C24"/>
    <mergeCell ref="D23:D24"/>
    <mergeCell ref="F23:F24"/>
    <mergeCell ref="A11:I11"/>
    <mergeCell ref="A1:I1"/>
    <mergeCell ref="A2:I2"/>
    <mergeCell ref="A3:I3"/>
    <mergeCell ref="A7:I7"/>
    <mergeCell ref="A8:I8"/>
    <mergeCell ref="A9:I9"/>
    <mergeCell ref="A10:I10"/>
    <mergeCell ref="A12:I12"/>
    <mergeCell ref="A14:I14"/>
    <mergeCell ref="A21:C21"/>
    <mergeCell ref="A50:I50"/>
    <mergeCell ref="H22:I22"/>
    <mergeCell ref="B23:B24"/>
    <mergeCell ref="A15:A17"/>
    <mergeCell ref="B15:B17"/>
    <mergeCell ref="D15:D17"/>
    <mergeCell ref="A22:A24"/>
    <mergeCell ref="A71:I71"/>
    <mergeCell ref="A62:I62"/>
    <mergeCell ref="A63:I63"/>
    <mergeCell ref="A64:I64"/>
    <mergeCell ref="A66:I66"/>
    <mergeCell ref="F126:G126"/>
    <mergeCell ref="H126:I126"/>
    <mergeCell ref="A67:I67"/>
    <mergeCell ref="H76:I76"/>
    <mergeCell ref="A72:A75"/>
    <mergeCell ref="B72:G72"/>
    <mergeCell ref="H72:I73"/>
    <mergeCell ref="B73:C73"/>
    <mergeCell ref="A68:I68"/>
    <mergeCell ref="A69:I69"/>
    <mergeCell ref="B127:B128"/>
    <mergeCell ref="C127:C128"/>
    <mergeCell ref="D127:D128"/>
    <mergeCell ref="B126:C126"/>
    <mergeCell ref="D126:E126"/>
    <mergeCell ref="H127:H128"/>
    <mergeCell ref="I127:I128"/>
    <mergeCell ref="E127:E128"/>
    <mergeCell ref="A60:I60"/>
    <mergeCell ref="A65:I65"/>
    <mergeCell ref="A61:I61"/>
    <mergeCell ref="A125:A128"/>
    <mergeCell ref="B125:G125"/>
    <mergeCell ref="H125:I125"/>
    <mergeCell ref="B99:B100"/>
    <mergeCell ref="A55:I55"/>
    <mergeCell ref="A56:I56"/>
    <mergeCell ref="A57:I57"/>
    <mergeCell ref="F158:G158"/>
    <mergeCell ref="H158:I158"/>
    <mergeCell ref="C152:C153"/>
    <mergeCell ref="D152:G152"/>
    <mergeCell ref="H153:I153"/>
    <mergeCell ref="F127:F128"/>
    <mergeCell ref="G127:G128"/>
    <mergeCell ref="H159:I159"/>
    <mergeCell ref="H129:I129"/>
    <mergeCell ref="H144:I144"/>
    <mergeCell ref="A152:A153"/>
    <mergeCell ref="B152:B153"/>
  </mergeCells>
  <hyperlinks>
    <hyperlink ref="A4" r:id="rId1" display="mailto:tpno2@bk.ru"/>
    <hyperlink ref="A113" r:id="rId2" display="mailto:tpno2@bk.ru"/>
    <hyperlink ref="A58" r:id="rId3" display="mailto:tpno2@bk.ru"/>
  </hyperlink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2" r:id="rId4"/>
  <rowBreaks count="2" manualBreakCount="2">
    <brk id="53" max="8" man="1"/>
    <brk id="107" max="8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78" zoomScaleSheetLayoutView="78" workbookViewId="0" topLeftCell="A25">
      <selection activeCell="C19" sqref="C19"/>
    </sheetView>
  </sheetViews>
  <sheetFormatPr defaultColWidth="9.00390625" defaultRowHeight="12.75"/>
  <cols>
    <col min="1" max="1" width="20.625" style="2025" customWidth="1"/>
    <col min="2" max="2" width="14.875" style="2025" customWidth="1"/>
    <col min="3" max="3" width="13.875" style="2025" customWidth="1"/>
    <col min="4" max="4" width="20.00390625" style="2025" customWidth="1"/>
    <col min="5" max="5" width="13.25390625" style="2025" customWidth="1"/>
    <col min="6" max="6" width="14.625" style="2025" customWidth="1"/>
    <col min="7" max="7" width="24.00390625" style="2025" customWidth="1"/>
    <col min="8" max="8" width="13.375" style="2025" customWidth="1"/>
    <col min="9" max="9" width="15.875" style="2025" customWidth="1"/>
    <col min="10" max="10" width="9.125" style="2025" customWidth="1"/>
    <col min="11" max="11" width="12.00390625" style="2025" customWidth="1"/>
    <col min="12" max="12" width="12.875" style="2025" customWidth="1"/>
    <col min="13" max="13" width="17.25390625" style="2025" customWidth="1"/>
    <col min="14" max="14" width="0.12890625" style="2025" customWidth="1"/>
    <col min="15" max="16" width="9.125" style="2025" hidden="1" customWidth="1"/>
    <col min="17" max="16384" width="9.125" style="2025" customWidth="1"/>
  </cols>
  <sheetData>
    <row r="1" spans="1:13" ht="27.75" customHeight="1" thickBot="1">
      <c r="A1" s="2129" t="s">
        <v>1441</v>
      </c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</row>
    <row r="2" spans="1:16" ht="24.75" customHeight="1" thickTop="1">
      <c r="A2" s="2026" t="s">
        <v>426</v>
      </c>
      <c r="B2" s="1506"/>
      <c r="C2" s="2027"/>
      <c r="D2" s="2028"/>
      <c r="E2" s="2130" t="s">
        <v>1373</v>
      </c>
      <c r="F2" s="2130"/>
      <c r="G2" s="2130"/>
      <c r="H2" s="2130"/>
      <c r="I2" s="2130"/>
      <c r="J2" s="2130"/>
      <c r="K2" s="2130"/>
      <c r="L2" s="2130"/>
      <c r="M2" s="2130"/>
      <c r="N2" s="2031"/>
      <c r="O2" s="2031"/>
      <c r="P2" s="2031"/>
    </row>
    <row r="3" spans="1:16" ht="20.25" thickBot="1">
      <c r="A3" s="2032" t="s">
        <v>148</v>
      </c>
      <c r="B3" s="2033"/>
      <c r="C3" s="2033"/>
      <c r="D3" s="2033"/>
      <c r="E3" s="2034" t="s">
        <v>722</v>
      </c>
      <c r="F3" s="2035"/>
      <c r="G3" s="2035"/>
      <c r="H3" s="2035"/>
      <c r="I3" s="2035" t="s">
        <v>1374</v>
      </c>
      <c r="J3" s="2035"/>
      <c r="K3" s="2036"/>
      <c r="L3" s="2037"/>
      <c r="M3" s="2036"/>
      <c r="O3" s="1164"/>
      <c r="P3" s="2038"/>
    </row>
    <row r="4" spans="1:13" s="2041" customFormat="1" ht="30" thickTop="1">
      <c r="A4" s="2131" t="s">
        <v>1375</v>
      </c>
      <c r="B4" s="2131"/>
      <c r="C4" s="2131"/>
      <c r="D4" s="2131"/>
      <c r="E4" s="2131"/>
      <c r="F4" s="2131"/>
      <c r="G4" s="2131"/>
      <c r="H4" s="2131"/>
      <c r="I4" s="2131"/>
      <c r="J4" s="2039"/>
      <c r="K4" s="2040"/>
      <c r="M4" s="2042" t="s">
        <v>1376</v>
      </c>
    </row>
    <row r="5" spans="1:13" s="2043" customFormat="1" ht="21.75" customHeight="1">
      <c r="A5" s="2132" t="s">
        <v>1377</v>
      </c>
      <c r="B5" s="2133"/>
      <c r="C5" s="2133"/>
      <c r="D5" s="2133"/>
      <c r="E5" s="2133"/>
      <c r="F5" s="2133"/>
      <c r="G5" s="2133"/>
      <c r="H5" s="2133"/>
      <c r="I5" s="2133"/>
      <c r="J5" s="2132" t="s">
        <v>1378</v>
      </c>
      <c r="K5" s="2134"/>
      <c r="L5" s="2134"/>
      <c r="M5" s="2134"/>
    </row>
    <row r="6" spans="1:13" s="2043" customFormat="1" ht="30" customHeight="1" thickBot="1">
      <c r="A6" s="2136" t="s">
        <v>2012</v>
      </c>
      <c r="B6" s="2136"/>
      <c r="C6" s="2136"/>
      <c r="D6" s="2136"/>
      <c r="E6" s="2136"/>
      <c r="F6" s="2136"/>
      <c r="G6" s="2136"/>
      <c r="H6" s="2136"/>
      <c r="I6" s="2136"/>
      <c r="J6" s="2135"/>
      <c r="K6" s="2135"/>
      <c r="L6" s="2135"/>
      <c r="M6" s="2135"/>
    </row>
    <row r="7" spans="1:13" s="2049" customFormat="1" ht="18.75" customHeight="1" thickBot="1">
      <c r="A7" s="2044" t="s">
        <v>171</v>
      </c>
      <c r="B7" s="2045" t="s">
        <v>1379</v>
      </c>
      <c r="C7" s="2045" t="s">
        <v>173</v>
      </c>
      <c r="D7" s="2044" t="s">
        <v>1380</v>
      </c>
      <c r="E7" s="2046" t="s">
        <v>1379</v>
      </c>
      <c r="F7" s="2045" t="s">
        <v>173</v>
      </c>
      <c r="G7" s="2047" t="s">
        <v>1380</v>
      </c>
      <c r="H7" s="2045" t="s">
        <v>1379</v>
      </c>
      <c r="I7" s="2048" t="s">
        <v>173</v>
      </c>
      <c r="J7" s="2127" t="s">
        <v>1380</v>
      </c>
      <c r="K7" s="2128"/>
      <c r="L7" s="2045" t="s">
        <v>1379</v>
      </c>
      <c r="M7" s="2046" t="s">
        <v>173</v>
      </c>
    </row>
    <row r="8" spans="1:18" s="2059" customFormat="1" ht="18" customHeight="1">
      <c r="A8" s="2050" t="s">
        <v>1381</v>
      </c>
      <c r="B8" s="2051" t="s">
        <v>802</v>
      </c>
      <c r="C8" s="2052">
        <v>3538</v>
      </c>
      <c r="D8" s="2050" t="s">
        <v>0</v>
      </c>
      <c r="E8" s="2051" t="s">
        <v>809</v>
      </c>
      <c r="F8" s="2053">
        <v>16323</v>
      </c>
      <c r="G8" s="2050" t="s">
        <v>15</v>
      </c>
      <c r="H8" s="2054" t="s">
        <v>488</v>
      </c>
      <c r="I8" s="2056">
        <v>31392</v>
      </c>
      <c r="J8" s="2050" t="s">
        <v>33</v>
      </c>
      <c r="K8" s="2057"/>
      <c r="L8" s="2051" t="s">
        <v>765</v>
      </c>
      <c r="M8" s="2058">
        <v>75992</v>
      </c>
      <c r="R8" s="2060" t="s">
        <v>1382</v>
      </c>
    </row>
    <row r="9" spans="1:18" s="2059" customFormat="1" ht="18" customHeight="1">
      <c r="A9" s="2061" t="s">
        <v>1923</v>
      </c>
      <c r="B9" s="2062" t="s">
        <v>478</v>
      </c>
      <c r="C9" s="2063">
        <v>3636</v>
      </c>
      <c r="D9" s="2061" t="s">
        <v>1</v>
      </c>
      <c r="E9" s="2064" t="s">
        <v>485</v>
      </c>
      <c r="F9" s="2063">
        <v>15310</v>
      </c>
      <c r="G9" s="2061" t="s">
        <v>16</v>
      </c>
      <c r="H9" s="2064" t="s">
        <v>800</v>
      </c>
      <c r="I9" s="2065">
        <v>32724</v>
      </c>
      <c r="J9" s="2061" t="s">
        <v>34</v>
      </c>
      <c r="K9" s="2066"/>
      <c r="L9" s="2062" t="s">
        <v>717</v>
      </c>
      <c r="M9" s="2067">
        <v>84010</v>
      </c>
      <c r="R9" s="2060"/>
    </row>
    <row r="10" spans="1:13" s="2059" customFormat="1" ht="18" customHeight="1">
      <c r="A10" s="2061" t="s">
        <v>1924</v>
      </c>
      <c r="B10" s="2062" t="s">
        <v>489</v>
      </c>
      <c r="C10" s="2063">
        <v>3623</v>
      </c>
      <c r="D10" s="2061" t="s">
        <v>2</v>
      </c>
      <c r="E10" s="2064" t="s">
        <v>1753</v>
      </c>
      <c r="F10" s="2063">
        <v>15946</v>
      </c>
      <c r="G10" s="2068" t="s">
        <v>19</v>
      </c>
      <c r="H10" s="2062" t="s">
        <v>787</v>
      </c>
      <c r="I10" s="2065">
        <v>41820</v>
      </c>
      <c r="J10" s="2061" t="s">
        <v>35</v>
      </c>
      <c r="K10" s="2066"/>
      <c r="L10" s="2062" t="s">
        <v>796</v>
      </c>
      <c r="M10" s="2067">
        <v>134742</v>
      </c>
    </row>
    <row r="11" spans="1:13" s="2059" customFormat="1" ht="18" customHeight="1">
      <c r="A11" s="2061" t="s">
        <v>2067</v>
      </c>
      <c r="B11" s="2062" t="s">
        <v>803</v>
      </c>
      <c r="C11" s="2063">
        <v>4453</v>
      </c>
      <c r="D11" s="2061" t="s">
        <v>3</v>
      </c>
      <c r="E11" s="2064" t="s">
        <v>797</v>
      </c>
      <c r="F11" s="2063">
        <v>17640</v>
      </c>
      <c r="G11" s="2068" t="s">
        <v>20</v>
      </c>
      <c r="H11" s="2069" t="s">
        <v>422</v>
      </c>
      <c r="I11" s="2070">
        <v>54540</v>
      </c>
      <c r="J11" s="2071" t="s">
        <v>36</v>
      </c>
      <c r="K11" s="2068"/>
      <c r="L11" s="2062" t="s">
        <v>758</v>
      </c>
      <c r="M11" s="2067">
        <v>86322</v>
      </c>
    </row>
    <row r="12" spans="1:13" s="2059" customFormat="1" ht="18" customHeight="1">
      <c r="A12" s="2061" t="s">
        <v>1383</v>
      </c>
      <c r="B12" s="2062" t="s">
        <v>804</v>
      </c>
      <c r="C12" s="2063">
        <v>4453</v>
      </c>
      <c r="D12" s="2061" t="s">
        <v>4</v>
      </c>
      <c r="E12" s="2064" t="s">
        <v>776</v>
      </c>
      <c r="F12" s="2063">
        <v>17280</v>
      </c>
      <c r="G12" s="2061" t="s">
        <v>21</v>
      </c>
      <c r="H12" s="2062" t="s">
        <v>762</v>
      </c>
      <c r="I12" s="2065">
        <v>34812</v>
      </c>
      <c r="J12" s="2071" t="s">
        <v>1384</v>
      </c>
      <c r="K12" s="2068"/>
      <c r="L12" s="2062" t="s">
        <v>718</v>
      </c>
      <c r="M12" s="2067">
        <v>90050</v>
      </c>
    </row>
    <row r="13" spans="1:13" s="2059" customFormat="1" ht="18" customHeight="1">
      <c r="A13" s="2061" t="s">
        <v>2068</v>
      </c>
      <c r="B13" s="2062" t="s">
        <v>805</v>
      </c>
      <c r="C13" s="2063">
        <v>5612</v>
      </c>
      <c r="D13" s="2061" t="s">
        <v>5</v>
      </c>
      <c r="E13" s="2064" t="s">
        <v>777</v>
      </c>
      <c r="F13" s="2063">
        <v>17712</v>
      </c>
      <c r="G13" s="2061" t="s">
        <v>22</v>
      </c>
      <c r="H13" s="2062" t="s">
        <v>788</v>
      </c>
      <c r="I13" s="2065">
        <v>36336</v>
      </c>
      <c r="J13" s="2071" t="s">
        <v>1385</v>
      </c>
      <c r="K13" s="2068"/>
      <c r="L13" s="2062" t="s">
        <v>715</v>
      </c>
      <c r="M13" s="2067">
        <v>132840</v>
      </c>
    </row>
    <row r="14" spans="1:13" s="2059" customFormat="1" ht="18" customHeight="1">
      <c r="A14" s="2061" t="s">
        <v>1386</v>
      </c>
      <c r="B14" s="2062" t="s">
        <v>806</v>
      </c>
      <c r="C14" s="2063">
        <v>5490</v>
      </c>
      <c r="D14" s="2061" t="s">
        <v>6</v>
      </c>
      <c r="E14" s="2064" t="s">
        <v>778</v>
      </c>
      <c r="F14" s="2063">
        <v>23784</v>
      </c>
      <c r="G14" s="2061" t="s">
        <v>23</v>
      </c>
      <c r="H14" s="2062" t="s">
        <v>790</v>
      </c>
      <c r="I14" s="2065">
        <v>53642</v>
      </c>
      <c r="J14" s="2071" t="s">
        <v>37</v>
      </c>
      <c r="K14" s="2068"/>
      <c r="L14" s="2062" t="s">
        <v>720</v>
      </c>
      <c r="M14" s="2067">
        <v>137104</v>
      </c>
    </row>
    <row r="15" spans="1:13" s="2059" customFormat="1" ht="18" customHeight="1">
      <c r="A15" s="2061" t="s">
        <v>1925</v>
      </c>
      <c r="B15" s="2062" t="s">
        <v>482</v>
      </c>
      <c r="C15" s="2063">
        <v>5941</v>
      </c>
      <c r="D15" s="2061" t="s">
        <v>7</v>
      </c>
      <c r="E15" s="2064" t="s">
        <v>801</v>
      </c>
      <c r="F15" s="2072">
        <v>32268</v>
      </c>
      <c r="G15" s="2068" t="s">
        <v>24</v>
      </c>
      <c r="H15" s="2069" t="s">
        <v>423</v>
      </c>
      <c r="I15" s="2070">
        <v>61423</v>
      </c>
      <c r="J15" s="2071" t="s">
        <v>582</v>
      </c>
      <c r="K15" s="2068"/>
      <c r="L15" s="2062" t="s">
        <v>784</v>
      </c>
      <c r="M15" s="2067">
        <v>223200</v>
      </c>
    </row>
    <row r="16" spans="1:13" s="2059" customFormat="1" ht="18" customHeight="1">
      <c r="A16" s="2061" t="s">
        <v>1387</v>
      </c>
      <c r="B16" s="2062" t="s">
        <v>483</v>
      </c>
      <c r="C16" s="2063">
        <v>6332</v>
      </c>
      <c r="D16" s="2061" t="s">
        <v>8</v>
      </c>
      <c r="E16" s="2064" t="s">
        <v>761</v>
      </c>
      <c r="F16" s="2063">
        <v>21960</v>
      </c>
      <c r="G16" s="2061" t="s">
        <v>25</v>
      </c>
      <c r="H16" s="2062" t="s">
        <v>763</v>
      </c>
      <c r="I16" s="2065">
        <v>40587</v>
      </c>
      <c r="J16" s="2071" t="s">
        <v>1388</v>
      </c>
      <c r="K16" s="2068"/>
      <c r="L16" s="2062" t="s">
        <v>785</v>
      </c>
      <c r="M16" s="2067">
        <v>142966</v>
      </c>
    </row>
    <row r="17" spans="1:13" s="2059" customFormat="1" ht="18" customHeight="1">
      <c r="A17" s="2061" t="s">
        <v>2069</v>
      </c>
      <c r="B17" s="2062" t="s">
        <v>481</v>
      </c>
      <c r="C17" s="2063">
        <v>8320</v>
      </c>
      <c r="D17" s="2061" t="s">
        <v>9</v>
      </c>
      <c r="E17" s="2064" t="s">
        <v>1752</v>
      </c>
      <c r="F17" s="2063">
        <v>22128</v>
      </c>
      <c r="G17" s="2061" t="s">
        <v>26</v>
      </c>
      <c r="H17" s="2062" t="s">
        <v>791</v>
      </c>
      <c r="I17" s="2065">
        <v>45128</v>
      </c>
      <c r="J17" s="2071" t="s">
        <v>583</v>
      </c>
      <c r="K17" s="2068"/>
      <c r="L17" s="2062" t="s">
        <v>731</v>
      </c>
      <c r="M17" s="2067">
        <v>154774</v>
      </c>
    </row>
    <row r="18" spans="1:13" s="2059" customFormat="1" ht="18" customHeight="1">
      <c r="A18" s="2061" t="s">
        <v>2070</v>
      </c>
      <c r="B18" s="2062" t="s">
        <v>807</v>
      </c>
      <c r="C18" s="2063">
        <v>10126</v>
      </c>
      <c r="D18" s="2061" t="s">
        <v>10</v>
      </c>
      <c r="E18" s="2064" t="s">
        <v>798</v>
      </c>
      <c r="F18" s="2063">
        <v>28524</v>
      </c>
      <c r="G18" s="2061" t="s">
        <v>27</v>
      </c>
      <c r="H18" s="2062" t="s">
        <v>792</v>
      </c>
      <c r="I18" s="2065">
        <v>59076</v>
      </c>
      <c r="J18" s="2071" t="s">
        <v>1389</v>
      </c>
      <c r="K18" s="2068"/>
      <c r="L18" s="2062" t="s">
        <v>786</v>
      </c>
      <c r="M18" s="2067">
        <v>240960</v>
      </c>
    </row>
    <row r="19" spans="1:13" s="2059" customFormat="1" ht="18" customHeight="1">
      <c r="A19" s="2061" t="s">
        <v>1390</v>
      </c>
      <c r="B19" s="2062" t="s">
        <v>484</v>
      </c>
      <c r="C19" s="2063">
        <v>8308</v>
      </c>
      <c r="D19" s="2061" t="s">
        <v>11</v>
      </c>
      <c r="E19" s="2064" t="s">
        <v>17</v>
      </c>
      <c r="F19" s="2072">
        <v>34200</v>
      </c>
      <c r="G19" s="2061" t="s">
        <v>28</v>
      </c>
      <c r="H19" s="2062" t="s">
        <v>764</v>
      </c>
      <c r="I19" s="2065">
        <v>57658</v>
      </c>
      <c r="J19" s="2071" t="s">
        <v>584</v>
      </c>
      <c r="K19" s="2068"/>
      <c r="L19" s="2062" t="s">
        <v>721</v>
      </c>
      <c r="M19" s="2067">
        <v>239160</v>
      </c>
    </row>
    <row r="20" spans="1:13" s="2059" customFormat="1" ht="18" customHeight="1">
      <c r="A20" s="2061" t="s">
        <v>2071</v>
      </c>
      <c r="B20" s="2062" t="s">
        <v>915</v>
      </c>
      <c r="C20" s="2063">
        <v>9748</v>
      </c>
      <c r="D20" s="2061" t="s">
        <v>12</v>
      </c>
      <c r="E20" s="2064" t="s">
        <v>487</v>
      </c>
      <c r="F20" s="2063">
        <v>24720</v>
      </c>
      <c r="G20" s="2061" t="s">
        <v>29</v>
      </c>
      <c r="H20" s="2062" t="s">
        <v>716</v>
      </c>
      <c r="I20" s="2065">
        <v>59688</v>
      </c>
      <c r="J20" s="2071" t="s">
        <v>585</v>
      </c>
      <c r="K20" s="2068"/>
      <c r="L20" s="2062" t="s">
        <v>774</v>
      </c>
      <c r="M20" s="2067">
        <v>225132</v>
      </c>
    </row>
    <row r="21" spans="1:13" s="2059" customFormat="1" ht="18" customHeight="1">
      <c r="A21" s="2061" t="s">
        <v>2072</v>
      </c>
      <c r="B21" s="2062" t="s">
        <v>808</v>
      </c>
      <c r="C21" s="2063">
        <v>10898</v>
      </c>
      <c r="D21" s="2061" t="s">
        <v>13</v>
      </c>
      <c r="E21" s="2064" t="s">
        <v>1750</v>
      </c>
      <c r="F21" s="2063">
        <v>25620</v>
      </c>
      <c r="G21" s="2061" t="s">
        <v>30</v>
      </c>
      <c r="H21" s="2062" t="s">
        <v>793</v>
      </c>
      <c r="I21" s="2065">
        <v>76560</v>
      </c>
      <c r="J21" s="2068" t="s">
        <v>1391</v>
      </c>
      <c r="K21" s="2068"/>
      <c r="L21" s="2062" t="s">
        <v>725</v>
      </c>
      <c r="M21" s="2067">
        <v>275661</v>
      </c>
    </row>
    <row r="22" spans="1:13" s="2059" customFormat="1" ht="18" customHeight="1">
      <c r="A22" s="2061" t="s">
        <v>2073</v>
      </c>
      <c r="B22" s="2062" t="s">
        <v>760</v>
      </c>
      <c r="C22" s="2063">
        <v>10494</v>
      </c>
      <c r="D22" s="2061" t="s">
        <v>14</v>
      </c>
      <c r="E22" s="2064" t="s">
        <v>799</v>
      </c>
      <c r="F22" s="2063">
        <v>31452</v>
      </c>
      <c r="G22" s="2061" t="s">
        <v>31</v>
      </c>
      <c r="H22" s="2062" t="s">
        <v>794</v>
      </c>
      <c r="I22" s="2065">
        <v>62400</v>
      </c>
      <c r="J22" s="2068" t="s">
        <v>586</v>
      </c>
      <c r="K22" s="2068"/>
      <c r="L22" s="2062" t="s">
        <v>775</v>
      </c>
      <c r="M22" s="2067">
        <v>240100</v>
      </c>
    </row>
    <row r="23" spans="1:13" s="2059" customFormat="1" ht="18" customHeight="1" thickBot="1">
      <c r="A23" s="2073" t="s">
        <v>2074</v>
      </c>
      <c r="B23" s="2074" t="s">
        <v>1751</v>
      </c>
      <c r="C23" s="2075">
        <v>10797</v>
      </c>
      <c r="D23" s="2073" t="s">
        <v>2075</v>
      </c>
      <c r="E23" s="2076" t="s">
        <v>18</v>
      </c>
      <c r="F23" s="2077">
        <v>43688</v>
      </c>
      <c r="G23" s="2073" t="s">
        <v>32</v>
      </c>
      <c r="H23" s="2074" t="s">
        <v>795</v>
      </c>
      <c r="I23" s="2078">
        <v>64680</v>
      </c>
      <c r="J23" s="2079" t="s">
        <v>1392</v>
      </c>
      <c r="K23" s="2080"/>
      <c r="L23" s="2074" t="s">
        <v>726</v>
      </c>
      <c r="M23" s="2081" t="s">
        <v>337</v>
      </c>
    </row>
    <row r="24" spans="1:13" s="2059" customFormat="1" ht="18" customHeight="1">
      <c r="A24" s="2137" t="s">
        <v>1393</v>
      </c>
      <c r="B24" s="2137"/>
      <c r="C24" s="2137"/>
      <c r="D24" s="2137"/>
      <c r="E24" s="2137"/>
      <c r="F24" s="2137"/>
      <c r="G24" s="2137"/>
      <c r="H24" s="2137"/>
      <c r="I24" s="2137"/>
      <c r="J24" s="2139" t="s">
        <v>1394</v>
      </c>
      <c r="K24" s="2139"/>
      <c r="L24" s="2139"/>
      <c r="M24" s="2139"/>
    </row>
    <row r="25" spans="1:13" s="2059" customFormat="1" ht="18" customHeight="1" thickBot="1">
      <c r="A25" s="2138"/>
      <c r="B25" s="2138"/>
      <c r="C25" s="2138"/>
      <c r="D25" s="2138"/>
      <c r="E25" s="2138"/>
      <c r="F25" s="2138"/>
      <c r="G25" s="2138"/>
      <c r="H25" s="2138"/>
      <c r="I25" s="2138"/>
      <c r="J25" s="2126" t="s">
        <v>1442</v>
      </c>
      <c r="K25" s="2126"/>
      <c r="L25" s="2126"/>
      <c r="M25" s="2126"/>
    </row>
    <row r="26" spans="1:13" s="2059" customFormat="1" ht="18" customHeight="1" thickBot="1">
      <c r="A26" s="2140" t="s">
        <v>1748</v>
      </c>
      <c r="B26" s="2141"/>
      <c r="C26" s="2082" t="s">
        <v>1395</v>
      </c>
      <c r="D26" s="2083" t="s">
        <v>173</v>
      </c>
      <c r="E26" s="2030" t="s">
        <v>1748</v>
      </c>
      <c r="F26" s="2013"/>
      <c r="G26" s="2084"/>
      <c r="H26" s="2083" t="s">
        <v>1395</v>
      </c>
      <c r="I26" s="2083" t="s">
        <v>173</v>
      </c>
      <c r="J26" s="2085" t="s">
        <v>1396</v>
      </c>
      <c r="K26" s="2086"/>
      <c r="L26" s="2087" t="s">
        <v>484</v>
      </c>
      <c r="M26" s="2088">
        <v>16682</v>
      </c>
    </row>
    <row r="27" spans="1:13" s="2059" customFormat="1" ht="18" customHeight="1">
      <c r="A27" s="2089" t="s">
        <v>1397</v>
      </c>
      <c r="B27" s="2090" t="s">
        <v>1398</v>
      </c>
      <c r="C27" s="2091" t="s">
        <v>764</v>
      </c>
      <c r="D27" s="2053">
        <v>54769</v>
      </c>
      <c r="E27" s="2092" t="s">
        <v>1399</v>
      </c>
      <c r="F27" s="2093"/>
      <c r="G27" s="2094" t="s">
        <v>1398</v>
      </c>
      <c r="H27" s="2051" t="s">
        <v>715</v>
      </c>
      <c r="I27" s="2056">
        <v>141025</v>
      </c>
      <c r="J27" s="2095" t="s">
        <v>1400</v>
      </c>
      <c r="K27" s="2096"/>
      <c r="L27" s="2097" t="s">
        <v>760</v>
      </c>
      <c r="M27" s="2067">
        <v>20489</v>
      </c>
    </row>
    <row r="28" spans="1:13" s="2059" customFormat="1" ht="18" customHeight="1">
      <c r="A28" s="2068" t="s">
        <v>1401</v>
      </c>
      <c r="B28" s="2098" t="s">
        <v>1398</v>
      </c>
      <c r="C28" s="2062" t="s">
        <v>763</v>
      </c>
      <c r="D28" s="2063">
        <v>45115</v>
      </c>
      <c r="E28" s="2068" t="s">
        <v>1402</v>
      </c>
      <c r="F28" s="2098"/>
      <c r="G28" s="2099" t="s">
        <v>1398</v>
      </c>
      <c r="H28" s="2062" t="s">
        <v>720</v>
      </c>
      <c r="I28" s="2065">
        <v>123586</v>
      </c>
      <c r="J28" s="2095" t="s">
        <v>1403</v>
      </c>
      <c r="K28" s="2096"/>
      <c r="L28" s="2097" t="s">
        <v>915</v>
      </c>
      <c r="M28" s="2067">
        <v>19030</v>
      </c>
    </row>
    <row r="29" spans="1:13" s="2059" customFormat="1" ht="18" customHeight="1">
      <c r="A29" s="2068" t="s">
        <v>1404</v>
      </c>
      <c r="B29" s="2098" t="s">
        <v>1398</v>
      </c>
      <c r="C29" s="2062" t="s">
        <v>791</v>
      </c>
      <c r="D29" s="2063">
        <v>45108</v>
      </c>
      <c r="E29" s="2068" t="s">
        <v>1405</v>
      </c>
      <c r="F29" s="2100"/>
      <c r="G29" s="2099" t="s">
        <v>1398</v>
      </c>
      <c r="H29" s="2062" t="s">
        <v>718</v>
      </c>
      <c r="I29" s="2065">
        <v>108618</v>
      </c>
      <c r="J29" s="2095" t="s">
        <v>1406</v>
      </c>
      <c r="K29" s="2096"/>
      <c r="L29" s="2097" t="s">
        <v>1751</v>
      </c>
      <c r="M29" s="2067">
        <v>22057</v>
      </c>
    </row>
    <row r="30" spans="1:13" s="2059" customFormat="1" ht="18" customHeight="1">
      <c r="A30" s="2068" t="s">
        <v>1407</v>
      </c>
      <c r="B30" s="2098" t="s">
        <v>1398</v>
      </c>
      <c r="C30" s="2062" t="s">
        <v>788</v>
      </c>
      <c r="D30" s="2063">
        <v>40037</v>
      </c>
      <c r="E30" s="2068" t="s">
        <v>1408</v>
      </c>
      <c r="F30" s="2100"/>
      <c r="G30" s="2099" t="s">
        <v>1398</v>
      </c>
      <c r="H30" s="2062" t="s">
        <v>796</v>
      </c>
      <c r="I30" s="2065">
        <v>122854</v>
      </c>
      <c r="J30" s="2095" t="s">
        <v>1409</v>
      </c>
      <c r="K30" s="2096"/>
      <c r="L30" s="2097" t="s">
        <v>485</v>
      </c>
      <c r="M30" s="2067">
        <v>25900</v>
      </c>
    </row>
    <row r="31" spans="1:13" s="2059" customFormat="1" ht="18" customHeight="1">
      <c r="A31" s="2068" t="s">
        <v>1410</v>
      </c>
      <c r="B31" s="2098" t="s">
        <v>1398</v>
      </c>
      <c r="C31" s="2062" t="s">
        <v>787</v>
      </c>
      <c r="D31" s="2063">
        <v>47196</v>
      </c>
      <c r="E31" s="2068" t="s">
        <v>1411</v>
      </c>
      <c r="F31" s="2100"/>
      <c r="G31" s="2099" t="s">
        <v>1398</v>
      </c>
      <c r="H31" s="2062" t="s">
        <v>588</v>
      </c>
      <c r="I31" s="2065">
        <v>117346</v>
      </c>
      <c r="J31" s="2095" t="s">
        <v>1412</v>
      </c>
      <c r="K31" s="2096"/>
      <c r="L31" s="2097" t="s">
        <v>1753</v>
      </c>
      <c r="M31" s="2067">
        <v>27118</v>
      </c>
    </row>
    <row r="32" spans="1:13" s="2059" customFormat="1" ht="18" customHeight="1">
      <c r="A32" s="2068" t="s">
        <v>1413</v>
      </c>
      <c r="B32" s="2098" t="s">
        <v>1398</v>
      </c>
      <c r="C32" s="2062" t="s">
        <v>799</v>
      </c>
      <c r="D32" s="2063">
        <v>37743</v>
      </c>
      <c r="E32" s="2068" t="s">
        <v>1414</v>
      </c>
      <c r="F32" s="2100"/>
      <c r="G32" s="2099" t="s">
        <v>1398</v>
      </c>
      <c r="H32" s="2062" t="s">
        <v>774</v>
      </c>
      <c r="I32" s="2065">
        <v>210784</v>
      </c>
      <c r="J32" s="2095" t="s">
        <v>1415</v>
      </c>
      <c r="K32" s="2096"/>
      <c r="L32" s="2097" t="s">
        <v>759</v>
      </c>
      <c r="M32" s="2067">
        <v>29837</v>
      </c>
    </row>
    <row r="33" spans="1:13" s="2059" customFormat="1" ht="18" customHeight="1">
      <c r="A33" s="2068" t="s">
        <v>1416</v>
      </c>
      <c r="B33" s="2098" t="s">
        <v>1398</v>
      </c>
      <c r="C33" s="2062" t="s">
        <v>765</v>
      </c>
      <c r="D33" s="2063">
        <v>91138</v>
      </c>
      <c r="E33" s="2068" t="s">
        <v>1417</v>
      </c>
      <c r="F33" s="2101"/>
      <c r="G33" s="2099" t="s">
        <v>1398</v>
      </c>
      <c r="H33" s="2062" t="s">
        <v>785</v>
      </c>
      <c r="I33" s="2065">
        <v>173581</v>
      </c>
      <c r="J33" s="2095" t="s">
        <v>1418</v>
      </c>
      <c r="K33" s="2096"/>
      <c r="L33" s="2097" t="s">
        <v>840</v>
      </c>
      <c r="M33" s="2067">
        <v>30289</v>
      </c>
    </row>
    <row r="34" spans="1:13" s="2059" customFormat="1" ht="18" customHeight="1">
      <c r="A34" s="2068" t="s">
        <v>1419</v>
      </c>
      <c r="B34" s="2098" t="s">
        <v>1398</v>
      </c>
      <c r="C34" s="2062" t="s">
        <v>794</v>
      </c>
      <c r="D34" s="2063">
        <v>74745</v>
      </c>
      <c r="E34" s="2068" t="s">
        <v>1420</v>
      </c>
      <c r="F34" s="2100"/>
      <c r="G34" s="2099" t="s">
        <v>1398</v>
      </c>
      <c r="H34" s="2062" t="s">
        <v>721</v>
      </c>
      <c r="I34" s="2065">
        <v>193700</v>
      </c>
      <c r="J34" s="2095" t="s">
        <v>1421</v>
      </c>
      <c r="K34" s="2096"/>
      <c r="L34" s="2097" t="s">
        <v>761</v>
      </c>
      <c r="M34" s="2067">
        <v>33346</v>
      </c>
    </row>
    <row r="35" spans="1:13" s="2059" customFormat="1" ht="18" customHeight="1">
      <c r="A35" s="2068" t="s">
        <v>1422</v>
      </c>
      <c r="B35" s="2098" t="s">
        <v>1398</v>
      </c>
      <c r="C35" s="2062" t="s">
        <v>717</v>
      </c>
      <c r="D35" s="2063">
        <v>91464</v>
      </c>
      <c r="E35" s="2068" t="s">
        <v>1423</v>
      </c>
      <c r="F35" s="2100"/>
      <c r="G35" s="2099" t="s">
        <v>1398</v>
      </c>
      <c r="H35" s="2062" t="s">
        <v>731</v>
      </c>
      <c r="I35" s="2065">
        <v>142218</v>
      </c>
      <c r="J35" s="2095" t="s">
        <v>1424</v>
      </c>
      <c r="K35" s="2096"/>
      <c r="L35" s="2097" t="s">
        <v>1752</v>
      </c>
      <c r="M35" s="2067">
        <v>34035</v>
      </c>
    </row>
    <row r="36" spans="1:13" s="2059" customFormat="1" ht="18" customHeight="1">
      <c r="A36" s="2068" t="s">
        <v>1425</v>
      </c>
      <c r="B36" s="2098" t="s">
        <v>1398</v>
      </c>
      <c r="C36" s="2062" t="s">
        <v>795</v>
      </c>
      <c r="D36" s="2063">
        <v>70231</v>
      </c>
      <c r="E36" s="2068" t="s">
        <v>1426</v>
      </c>
      <c r="F36" s="2100"/>
      <c r="G36" s="2099" t="s">
        <v>1398</v>
      </c>
      <c r="H36" s="2062" t="s">
        <v>784</v>
      </c>
      <c r="I36" s="2065">
        <v>166032</v>
      </c>
      <c r="J36" s="2095" t="s">
        <v>1427</v>
      </c>
      <c r="K36" s="2096"/>
      <c r="L36" s="2097" t="s">
        <v>487</v>
      </c>
      <c r="M36" s="2067">
        <v>43871</v>
      </c>
    </row>
    <row r="37" spans="1:13" s="2059" customFormat="1" ht="18" customHeight="1">
      <c r="A37" s="2068" t="s">
        <v>1428</v>
      </c>
      <c r="B37" s="2098" t="s">
        <v>1398</v>
      </c>
      <c r="C37" s="2062" t="s">
        <v>793</v>
      </c>
      <c r="D37" s="2063">
        <v>94030</v>
      </c>
      <c r="E37" s="2068" t="s">
        <v>1429</v>
      </c>
      <c r="F37" s="2100"/>
      <c r="G37" s="2099" t="s">
        <v>1398</v>
      </c>
      <c r="H37" s="2062" t="s">
        <v>2052</v>
      </c>
      <c r="I37" s="2078">
        <v>145652</v>
      </c>
      <c r="J37" s="2102" t="s">
        <v>1430</v>
      </c>
      <c r="K37" s="2103"/>
      <c r="L37" s="2104" t="s">
        <v>1750</v>
      </c>
      <c r="M37" s="2067">
        <v>43663</v>
      </c>
    </row>
    <row r="38" spans="1:13" s="2059" customFormat="1" ht="18" customHeight="1">
      <c r="A38" s="2068" t="s">
        <v>1431</v>
      </c>
      <c r="B38" s="2098" t="s">
        <v>1398</v>
      </c>
      <c r="C38" s="2062" t="s">
        <v>587</v>
      </c>
      <c r="D38" s="2063">
        <v>88616</v>
      </c>
      <c r="E38" s="2068" t="s">
        <v>1432</v>
      </c>
      <c r="F38" s="2100"/>
      <c r="G38" s="2099" t="s">
        <v>1398</v>
      </c>
      <c r="H38" s="2062" t="s">
        <v>1433</v>
      </c>
      <c r="I38" s="2065">
        <v>212060</v>
      </c>
      <c r="J38" s="2095" t="s">
        <v>1434</v>
      </c>
      <c r="K38" s="2096"/>
      <c r="L38" s="2097" t="s">
        <v>488</v>
      </c>
      <c r="M38" s="2067">
        <v>58423</v>
      </c>
    </row>
    <row r="39" spans="1:13" s="2059" customFormat="1" ht="18" customHeight="1" thickBot="1">
      <c r="A39" s="2080" t="s">
        <v>1435</v>
      </c>
      <c r="B39" s="2105" t="s">
        <v>1398</v>
      </c>
      <c r="C39" s="2074" t="s">
        <v>423</v>
      </c>
      <c r="D39" s="2075">
        <v>70977</v>
      </c>
      <c r="E39" s="2080" t="s">
        <v>1436</v>
      </c>
      <c r="F39" s="2106"/>
      <c r="G39" s="2107" t="s">
        <v>1398</v>
      </c>
      <c r="H39" s="2074" t="s">
        <v>589</v>
      </c>
      <c r="I39" s="2078">
        <v>169859</v>
      </c>
      <c r="J39" s="2108" t="s">
        <v>1437</v>
      </c>
      <c r="K39" s="2109"/>
      <c r="L39" s="2110" t="s">
        <v>762</v>
      </c>
      <c r="M39" s="2111">
        <v>66876</v>
      </c>
    </row>
    <row r="40" spans="1:13" s="2059" customFormat="1" ht="29.25" customHeight="1">
      <c r="A40" s="2113" t="s">
        <v>1438</v>
      </c>
      <c r="B40" s="2113"/>
      <c r="C40" s="2113"/>
      <c r="D40" s="2113"/>
      <c r="E40" s="2113"/>
      <c r="F40" s="2113"/>
      <c r="G40" s="2113"/>
      <c r="H40" s="2113"/>
      <c r="I40" s="2113"/>
      <c r="J40" s="2113"/>
      <c r="K40" s="2113"/>
      <c r="L40" s="2113"/>
      <c r="M40" s="2113"/>
    </row>
    <row r="41" spans="1:13" s="2059" customFormat="1" ht="31.5" customHeight="1">
      <c r="A41" s="2114" t="s">
        <v>1439</v>
      </c>
      <c r="B41" s="2115"/>
      <c r="C41" s="2116"/>
      <c r="D41" s="2117"/>
      <c r="E41" s="2118"/>
      <c r="F41" s="2119"/>
      <c r="G41" s="2118"/>
      <c r="H41" s="2116"/>
      <c r="I41" s="2117"/>
      <c r="J41" s="2025"/>
      <c r="K41" s="2120" t="s">
        <v>1440</v>
      </c>
      <c r="L41" s="2025"/>
      <c r="M41" s="2025"/>
    </row>
    <row r="42" spans="1:13" s="2059" customFormat="1" ht="18" customHeight="1">
      <c r="A42" s="2118"/>
      <c r="B42" s="2121"/>
      <c r="C42" s="2116"/>
      <c r="D42" s="2122"/>
      <c r="E42" s="2118"/>
      <c r="F42" s="2119"/>
      <c r="G42" s="2118"/>
      <c r="H42" s="2116"/>
      <c r="I42" s="2122"/>
      <c r="J42" s="2025"/>
      <c r="K42" s="2025"/>
      <c r="L42" s="2025"/>
      <c r="M42" s="2025"/>
    </row>
    <row r="43" spans="1:13" s="2059" customFormat="1" ht="18" customHeight="1">
      <c r="A43" s="2118"/>
      <c r="B43" s="2121"/>
      <c r="C43" s="2116"/>
      <c r="D43" s="2122"/>
      <c r="E43" s="2118"/>
      <c r="F43" s="2119"/>
      <c r="G43" s="2118"/>
      <c r="H43" s="2116"/>
      <c r="I43" s="2122"/>
      <c r="J43" s="2025"/>
      <c r="K43" s="2025"/>
      <c r="L43" s="2025"/>
      <c r="M43" s="2025"/>
    </row>
    <row r="44" spans="1:13" s="2059" customFormat="1" ht="18" customHeight="1">
      <c r="A44" s="2118"/>
      <c r="B44" s="2121"/>
      <c r="C44" s="2116"/>
      <c r="D44" s="2122"/>
      <c r="E44" s="2118"/>
      <c r="F44" s="2119"/>
      <c r="G44" s="2118"/>
      <c r="H44" s="2116"/>
      <c r="I44" s="2122"/>
      <c r="J44" s="2025"/>
      <c r="K44" s="2025"/>
      <c r="L44" s="2025"/>
      <c r="M44" s="2025"/>
    </row>
    <row r="45" spans="1:13" s="2059" customFormat="1" ht="18" customHeight="1">
      <c r="A45" s="2118"/>
      <c r="B45" s="2121"/>
      <c r="C45" s="2116"/>
      <c r="D45" s="2122"/>
      <c r="E45" s="2118"/>
      <c r="F45" s="2119"/>
      <c r="G45" s="2118"/>
      <c r="H45" s="2116"/>
      <c r="I45" s="2122"/>
      <c r="J45" s="2025"/>
      <c r="K45" s="2025"/>
      <c r="L45" s="2025"/>
      <c r="M45" s="2025"/>
    </row>
    <row r="46" spans="1:13" s="2059" customFormat="1" ht="18" customHeight="1">
      <c r="A46" s="2118"/>
      <c r="B46" s="2121"/>
      <c r="C46" s="2116"/>
      <c r="D46" s="2122"/>
      <c r="E46" s="2055"/>
      <c r="F46" s="2029"/>
      <c r="G46" s="2118"/>
      <c r="H46" s="2116"/>
      <c r="I46" s="2122"/>
      <c r="J46" s="2025"/>
      <c r="K46" s="2025"/>
      <c r="L46" s="2025"/>
      <c r="M46" s="2025"/>
    </row>
    <row r="47" spans="1:9" ht="15">
      <c r="A47" s="2118"/>
      <c r="B47" s="2121"/>
      <c r="C47" s="2116"/>
      <c r="D47" s="2122"/>
      <c r="E47" s="2055"/>
      <c r="F47" s="2029"/>
      <c r="G47" s="2118"/>
      <c r="H47" s="2116"/>
      <c r="I47" s="2122"/>
    </row>
    <row r="48" spans="1:9" ht="19.5">
      <c r="A48" s="2112"/>
      <c r="B48" s="2112"/>
      <c r="C48" s="2123"/>
      <c r="D48" s="2124"/>
      <c r="E48" s="2125"/>
      <c r="F48" s="2125"/>
      <c r="G48" s="2125"/>
      <c r="H48" s="2125"/>
      <c r="I48" s="2125"/>
    </row>
    <row r="49" spans="1:4" ht="19.5">
      <c r="A49" s="2112"/>
      <c r="B49" s="2112"/>
      <c r="C49" s="2123"/>
      <c r="D49" s="2124"/>
    </row>
  </sheetData>
  <sheetProtection/>
  <mergeCells count="16">
    <mergeCell ref="A26:B26"/>
    <mergeCell ref="A49:B49"/>
    <mergeCell ref="A48:B48"/>
    <mergeCell ref="E47:F47"/>
    <mergeCell ref="E46:F46"/>
    <mergeCell ref="E26:F26"/>
    <mergeCell ref="J25:M25"/>
    <mergeCell ref="J7:K7"/>
    <mergeCell ref="A1:M1"/>
    <mergeCell ref="E2:M2"/>
    <mergeCell ref="A4:I4"/>
    <mergeCell ref="A5:I5"/>
    <mergeCell ref="J5:M6"/>
    <mergeCell ref="A6:I6"/>
    <mergeCell ref="A24:I25"/>
    <mergeCell ref="J24:M24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 scale="6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10"/>
  <sheetViews>
    <sheetView tabSelected="1" view="pageBreakPreview" zoomScale="85" zoomScaleSheetLayoutView="85" zoomScalePageLayoutView="0" workbookViewId="0" topLeftCell="A1">
      <selection activeCell="H17" sqref="H17"/>
    </sheetView>
  </sheetViews>
  <sheetFormatPr defaultColWidth="9.00390625" defaultRowHeight="9.75" customHeight="1"/>
  <cols>
    <col min="1" max="1" width="22.00390625" style="639" customWidth="1"/>
    <col min="2" max="2" width="1.875" style="639" hidden="1" customWidth="1"/>
    <col min="3" max="3" width="12.125" style="977" customWidth="1"/>
    <col min="4" max="4" width="1.75390625" style="977" hidden="1" customWidth="1"/>
    <col min="5" max="5" width="2.375" style="977" hidden="1" customWidth="1"/>
    <col min="6" max="6" width="5.625" style="639" customWidth="1"/>
    <col min="7" max="7" width="12.00390625" style="639" customWidth="1"/>
    <col min="8" max="8" width="10.125" style="639" customWidth="1"/>
    <col min="9" max="10" width="10.375" style="639" hidden="1" customWidth="1"/>
    <col min="11" max="11" width="15.00390625" style="970" customWidth="1"/>
    <col min="12" max="13" width="14.00390625" style="970" hidden="1" customWidth="1"/>
    <col min="14" max="14" width="0.37109375" style="970" customWidth="1"/>
    <col min="15" max="15" width="0.74609375" style="639" hidden="1" customWidth="1"/>
    <col min="16" max="16" width="16.00390625" style="639" customWidth="1"/>
    <col min="17" max="17" width="8.125" style="639" customWidth="1"/>
    <col min="18" max="18" width="9.125" style="639" customWidth="1"/>
    <col min="19" max="19" width="8.375" style="639" customWidth="1"/>
    <col min="20" max="20" width="7.25390625" style="639" customWidth="1"/>
    <col min="21" max="21" width="6.75390625" style="639" customWidth="1"/>
    <col min="22" max="22" width="13.25390625" style="967" customWidth="1"/>
    <col min="23" max="23" width="12.00390625" style="966" customWidth="1"/>
    <col min="24" max="25" width="0" style="639" hidden="1" customWidth="1"/>
    <col min="26" max="16384" width="9.125" style="639" customWidth="1"/>
  </cols>
  <sheetData>
    <row r="1" spans="1:23" ht="20.25" customHeight="1">
      <c r="A1" s="2202" t="s">
        <v>2077</v>
      </c>
      <c r="B1" s="2202"/>
      <c r="C1" s="2202"/>
      <c r="D1" s="2202"/>
      <c r="E1" s="2202"/>
      <c r="F1" s="2202"/>
      <c r="G1" s="2202"/>
      <c r="H1" s="2202"/>
      <c r="I1" s="2202"/>
      <c r="J1" s="2202"/>
      <c r="K1" s="2202"/>
      <c r="L1" s="2202"/>
      <c r="M1" s="2202"/>
      <c r="N1" s="2202"/>
      <c r="O1" s="2202"/>
      <c r="P1" s="2202"/>
      <c r="Q1" s="2202"/>
      <c r="R1" s="2202"/>
      <c r="S1" s="2202"/>
      <c r="T1" s="2202"/>
      <c r="U1" s="2202"/>
      <c r="V1" s="2202"/>
      <c r="W1" s="2202"/>
    </row>
    <row r="2" spans="1:23" ht="15" customHeight="1">
      <c r="A2" s="2216" t="s">
        <v>114</v>
      </c>
      <c r="B2" s="2216"/>
      <c r="C2" s="2216"/>
      <c r="D2" s="2216"/>
      <c r="E2" s="2216"/>
      <c r="F2" s="2216"/>
      <c r="G2" s="2216"/>
      <c r="H2" s="2216"/>
      <c r="I2" s="2216"/>
      <c r="J2" s="2216"/>
      <c r="K2" s="2216"/>
      <c r="L2" s="2216"/>
      <c r="M2" s="2216"/>
      <c r="N2" s="2216"/>
      <c r="O2" s="2216"/>
      <c r="P2" s="2216"/>
      <c r="Q2" s="2216"/>
      <c r="R2" s="2216"/>
      <c r="S2" s="2216"/>
      <c r="T2" s="2216"/>
      <c r="U2" s="2216"/>
      <c r="V2" s="2216"/>
      <c r="W2" s="2216"/>
    </row>
    <row r="3" spans="1:23" ht="15" customHeight="1">
      <c r="A3" s="2216" t="s">
        <v>336</v>
      </c>
      <c r="B3" s="2216"/>
      <c r="C3" s="2216"/>
      <c r="D3" s="2216"/>
      <c r="E3" s="2216"/>
      <c r="F3" s="2216"/>
      <c r="G3" s="2216"/>
      <c r="H3" s="2216"/>
      <c r="I3" s="2216"/>
      <c r="J3" s="2216"/>
      <c r="K3" s="2216"/>
      <c r="L3" s="2216"/>
      <c r="M3" s="2216"/>
      <c r="N3" s="2216"/>
      <c r="O3" s="2216"/>
      <c r="P3" s="2216"/>
      <c r="Q3" s="2216"/>
      <c r="R3" s="2216"/>
      <c r="S3" s="2216"/>
      <c r="T3" s="2216"/>
      <c r="U3" s="2216"/>
      <c r="V3" s="2216"/>
      <c r="W3" s="2216"/>
    </row>
    <row r="4" spans="1:23" ht="16.5" customHeight="1" thickBot="1">
      <c r="A4" s="2223" t="s">
        <v>115</v>
      </c>
      <c r="B4" s="2223"/>
      <c r="C4" s="2223"/>
      <c r="D4" s="2223"/>
      <c r="E4" s="2223"/>
      <c r="F4" s="2223"/>
      <c r="G4" s="2223"/>
      <c r="H4" s="2223"/>
      <c r="I4" s="2223"/>
      <c r="J4" s="2223"/>
      <c r="K4" s="2223"/>
      <c r="L4" s="2223"/>
      <c r="M4" s="2223"/>
      <c r="N4" s="2223"/>
      <c r="O4" s="2223"/>
      <c r="P4" s="2223"/>
      <c r="Q4" s="2223"/>
      <c r="R4" s="2223"/>
      <c r="S4" s="2223"/>
      <c r="T4" s="2223"/>
      <c r="U4" s="2223"/>
      <c r="V4" s="2223"/>
      <c r="W4" s="2223"/>
    </row>
    <row r="5" spans="1:23" s="642" customFormat="1" ht="12.75" customHeight="1" thickTop="1">
      <c r="A5" s="640" t="s">
        <v>426</v>
      </c>
      <c r="B5" s="641"/>
      <c r="C5" s="641"/>
      <c r="D5" s="641"/>
      <c r="E5" s="641"/>
      <c r="F5" s="641"/>
      <c r="G5" s="641"/>
      <c r="H5" s="641"/>
      <c r="I5" s="641"/>
      <c r="J5" s="641"/>
      <c r="K5" s="2230" t="s">
        <v>140</v>
      </c>
      <c r="L5" s="2230"/>
      <c r="M5" s="2230"/>
      <c r="N5" s="2230"/>
      <c r="O5" s="2230"/>
      <c r="P5" s="2230"/>
      <c r="Q5" s="2230"/>
      <c r="R5" s="2230"/>
      <c r="S5" s="2230"/>
      <c r="T5" s="2230"/>
      <c r="U5" s="2230"/>
      <c r="V5" s="2230"/>
      <c r="W5" s="2230"/>
    </row>
    <row r="6" spans="1:23" s="642" customFormat="1" ht="12.75" customHeight="1">
      <c r="A6" s="643"/>
      <c r="B6" s="644"/>
      <c r="C6" s="644"/>
      <c r="D6" s="644"/>
      <c r="E6" s="644"/>
      <c r="F6" s="644"/>
      <c r="G6" s="644"/>
      <c r="H6" s="644"/>
      <c r="I6" s="644"/>
      <c r="J6" s="644"/>
      <c r="K6" s="645" t="s">
        <v>722</v>
      </c>
      <c r="L6" s="645"/>
      <c r="M6" s="645"/>
      <c r="N6" s="646"/>
      <c r="O6" s="646"/>
      <c r="P6" s="646"/>
      <c r="Q6" s="646"/>
      <c r="R6" s="646"/>
      <c r="S6" s="646"/>
      <c r="T6" s="646"/>
      <c r="U6" s="646"/>
      <c r="V6" s="646"/>
      <c r="W6" s="646"/>
    </row>
    <row r="7" spans="1:23" s="642" customFormat="1" ht="12.75" customHeight="1" thickBot="1">
      <c r="A7" s="647" t="s">
        <v>148</v>
      </c>
      <c r="B7" s="648"/>
      <c r="C7" s="648"/>
      <c r="D7" s="648"/>
      <c r="E7" s="648"/>
      <c r="F7" s="648"/>
      <c r="G7" s="648"/>
      <c r="H7" s="648"/>
      <c r="I7" s="648"/>
      <c r="J7" s="648"/>
      <c r="K7" s="649" t="s">
        <v>221</v>
      </c>
      <c r="L7" s="649"/>
      <c r="M7" s="649"/>
      <c r="N7" s="650"/>
      <c r="O7" s="651"/>
      <c r="P7" s="651"/>
      <c r="Q7" s="651"/>
      <c r="R7" s="651"/>
      <c r="S7" s="2220" t="s">
        <v>1675</v>
      </c>
      <c r="T7" s="2220"/>
      <c r="U7" s="2220"/>
      <c r="V7" s="2220"/>
      <c r="W7" s="2220"/>
    </row>
    <row r="8" spans="1:23" ht="3.75" customHeight="1" thickTop="1">
      <c r="A8" s="2226"/>
      <c r="B8" s="2226"/>
      <c r="C8" s="2226"/>
      <c r="D8" s="2226"/>
      <c r="E8" s="2226"/>
      <c r="F8" s="2226"/>
      <c r="G8" s="2226"/>
      <c r="H8" s="2226"/>
      <c r="I8" s="2226"/>
      <c r="J8" s="2226"/>
      <c r="K8" s="2226"/>
      <c r="L8" s="2226"/>
      <c r="M8" s="2226"/>
      <c r="N8" s="2226"/>
      <c r="O8" s="2226"/>
      <c r="P8" s="2226"/>
      <c r="Q8" s="2226"/>
      <c r="R8" s="2226"/>
      <c r="S8" s="2226"/>
      <c r="T8" s="2226"/>
      <c r="U8" s="2226"/>
      <c r="V8" s="2226"/>
      <c r="W8" s="2226"/>
    </row>
    <row r="9" spans="1:23" ht="21.75" customHeight="1">
      <c r="A9" s="2225" t="s">
        <v>1674</v>
      </c>
      <c r="B9" s="2225"/>
      <c r="C9" s="2225"/>
      <c r="D9" s="2225"/>
      <c r="E9" s="2225"/>
      <c r="F9" s="2225"/>
      <c r="G9" s="2225"/>
      <c r="H9" s="2225"/>
      <c r="I9" s="2225"/>
      <c r="J9" s="2225"/>
      <c r="K9" s="2225"/>
      <c r="L9" s="2225"/>
      <c r="M9" s="2225"/>
      <c r="N9" s="2225"/>
      <c r="O9" s="2225"/>
      <c r="P9" s="2225"/>
      <c r="Q9" s="2225"/>
      <c r="R9" s="2225"/>
      <c r="S9" s="2225"/>
      <c r="T9" s="2225"/>
      <c r="U9" s="2225"/>
      <c r="V9" s="2225"/>
      <c r="W9" s="2225"/>
    </row>
    <row r="10" spans="1:25" ht="6" customHeight="1">
      <c r="A10" s="2213" t="s">
        <v>467</v>
      </c>
      <c r="B10" s="2213"/>
      <c r="C10" s="2213"/>
      <c r="D10" s="2213"/>
      <c r="E10" s="2213"/>
      <c r="F10" s="2213"/>
      <c r="G10" s="2213"/>
      <c r="H10" s="2213"/>
      <c r="I10" s="2213"/>
      <c r="J10" s="2213"/>
      <c r="K10" s="2213"/>
      <c r="L10" s="652"/>
      <c r="M10" s="652"/>
      <c r="N10" s="653"/>
      <c r="O10" s="654"/>
      <c r="P10" s="2213" t="s">
        <v>161</v>
      </c>
      <c r="Q10" s="2213"/>
      <c r="R10" s="2213"/>
      <c r="S10" s="2213"/>
      <c r="T10" s="2213"/>
      <c r="U10" s="2213"/>
      <c r="V10" s="2213"/>
      <c r="W10" s="2224" t="s">
        <v>1557</v>
      </c>
      <c r="X10" s="656"/>
      <c r="Y10" s="656"/>
    </row>
    <row r="11" spans="1:24" ht="10.5" customHeight="1" thickBot="1">
      <c r="A11" s="2215"/>
      <c r="B11" s="2215"/>
      <c r="C11" s="2215"/>
      <c r="D11" s="2215"/>
      <c r="E11" s="2215"/>
      <c r="F11" s="2215"/>
      <c r="G11" s="2215"/>
      <c r="H11" s="2215"/>
      <c r="I11" s="2215"/>
      <c r="J11" s="2215"/>
      <c r="K11" s="2215"/>
      <c r="L11" s="652"/>
      <c r="M11" s="652"/>
      <c r="N11" s="657"/>
      <c r="O11" s="654"/>
      <c r="P11" s="2215"/>
      <c r="Q11" s="2215"/>
      <c r="R11" s="2215"/>
      <c r="S11" s="2215"/>
      <c r="T11" s="2215"/>
      <c r="U11" s="2215"/>
      <c r="V11" s="2215"/>
      <c r="W11" s="2227"/>
      <c r="X11" s="659"/>
    </row>
    <row r="12" spans="1:25" ht="12" customHeight="1" thickBot="1">
      <c r="A12" s="660" t="s">
        <v>171</v>
      </c>
      <c r="B12" s="661" t="s">
        <v>172</v>
      </c>
      <c r="C12" s="662" t="s">
        <v>173</v>
      </c>
      <c r="D12" s="663"/>
      <c r="E12" s="663"/>
      <c r="F12" s="2233" t="s">
        <v>171</v>
      </c>
      <c r="G12" s="2234"/>
      <c r="H12" s="2235"/>
      <c r="I12" s="637"/>
      <c r="J12" s="637"/>
      <c r="K12" s="664" t="s">
        <v>173</v>
      </c>
      <c r="L12" s="657"/>
      <c r="M12" s="657"/>
      <c r="N12" s="665">
        <v>26019</v>
      </c>
      <c r="O12" s="654"/>
      <c r="P12" s="666" t="s">
        <v>632</v>
      </c>
      <c r="Q12" s="667"/>
      <c r="R12" s="549">
        <v>8</v>
      </c>
      <c r="S12" s="668">
        <v>18</v>
      </c>
      <c r="T12" s="549">
        <v>2.2</v>
      </c>
      <c r="U12" s="549">
        <v>3000</v>
      </c>
      <c r="V12" s="1639">
        <v>4794</v>
      </c>
      <c r="W12" s="1640">
        <v>9023</v>
      </c>
      <c r="X12" s="548">
        <v>3666</v>
      </c>
      <c r="Y12" s="548">
        <v>5140</v>
      </c>
    </row>
    <row r="13" spans="1:25" ht="12" customHeight="1" thickBot="1">
      <c r="A13" s="669" t="s">
        <v>1509</v>
      </c>
      <c r="B13" s="670"/>
      <c r="C13" s="671">
        <v>10989</v>
      </c>
      <c r="D13" s="672"/>
      <c r="E13" s="672"/>
      <c r="F13" s="673" t="s">
        <v>1538</v>
      </c>
      <c r="G13" s="674"/>
      <c r="H13" s="675"/>
      <c r="I13" s="675"/>
      <c r="J13" s="675"/>
      <c r="K13" s="676">
        <v>36159</v>
      </c>
      <c r="L13" s="677"/>
      <c r="M13" s="677"/>
      <c r="N13" s="678">
        <v>27553</v>
      </c>
      <c r="O13" s="679">
        <v>27907</v>
      </c>
      <c r="P13" s="680" t="s">
        <v>510</v>
      </c>
      <c r="Q13" s="681"/>
      <c r="R13" s="538">
        <v>12.5</v>
      </c>
      <c r="S13" s="682">
        <v>20</v>
      </c>
      <c r="T13" s="538">
        <v>2.2</v>
      </c>
      <c r="U13" s="538">
        <v>3000</v>
      </c>
      <c r="V13" s="1641">
        <v>6146</v>
      </c>
      <c r="W13" s="1642">
        <v>10361</v>
      </c>
      <c r="X13" s="548">
        <v>3666</v>
      </c>
      <c r="Y13" s="548">
        <v>7973</v>
      </c>
    </row>
    <row r="14" spans="1:25" ht="12" customHeight="1" thickBot="1">
      <c r="A14" s="683" t="s">
        <v>1676</v>
      </c>
      <c r="B14" s="684">
        <v>7026</v>
      </c>
      <c r="C14" s="1643">
        <v>19711</v>
      </c>
      <c r="D14" s="685">
        <v>15458</v>
      </c>
      <c r="E14" s="686">
        <v>16225</v>
      </c>
      <c r="F14" s="687" t="s">
        <v>1539</v>
      </c>
      <c r="G14" s="688"/>
      <c r="H14" s="689"/>
      <c r="I14" s="689"/>
      <c r="J14" s="689"/>
      <c r="K14" s="690">
        <v>41123</v>
      </c>
      <c r="L14" s="677"/>
      <c r="M14" s="677"/>
      <c r="N14" s="691">
        <v>34633</v>
      </c>
      <c r="O14" s="679">
        <v>29559</v>
      </c>
      <c r="P14" s="680" t="s">
        <v>633</v>
      </c>
      <c r="Q14" s="692"/>
      <c r="R14" s="538">
        <v>25</v>
      </c>
      <c r="S14" s="682">
        <v>20</v>
      </c>
      <c r="T14" s="538">
        <v>3</v>
      </c>
      <c r="U14" s="538">
        <v>3000</v>
      </c>
      <c r="V14" s="1641">
        <v>8133</v>
      </c>
      <c r="W14" s="1642">
        <v>13388</v>
      </c>
      <c r="X14" s="548">
        <v>4503</v>
      </c>
      <c r="Y14" s="548">
        <v>7973</v>
      </c>
    </row>
    <row r="15" spans="1:25" ht="12" customHeight="1" thickBot="1">
      <c r="A15" s="693" t="s">
        <v>1677</v>
      </c>
      <c r="B15" s="694">
        <v>7404</v>
      </c>
      <c r="C15" s="1644">
        <v>21180</v>
      </c>
      <c r="D15" s="695">
        <v>15104</v>
      </c>
      <c r="E15" s="696">
        <v>16992</v>
      </c>
      <c r="F15" s="687" t="s">
        <v>1540</v>
      </c>
      <c r="G15" s="688"/>
      <c r="H15" s="689"/>
      <c r="I15" s="689"/>
      <c r="J15" s="689"/>
      <c r="K15" s="690">
        <v>48121</v>
      </c>
      <c r="L15" s="677"/>
      <c r="M15" s="677"/>
      <c r="N15" s="691">
        <v>36698</v>
      </c>
      <c r="O15" s="679">
        <v>37170</v>
      </c>
      <c r="P15" s="680" t="s">
        <v>634</v>
      </c>
      <c r="Q15" s="692"/>
      <c r="R15" s="538">
        <v>20</v>
      </c>
      <c r="S15" s="682">
        <v>30</v>
      </c>
      <c r="T15" s="538">
        <v>4</v>
      </c>
      <c r="U15" s="538">
        <v>3000</v>
      </c>
      <c r="V15" s="1645">
        <v>5179</v>
      </c>
      <c r="W15" s="1642">
        <v>11093</v>
      </c>
      <c r="X15" s="548">
        <v>5980</v>
      </c>
      <c r="Y15" s="548">
        <v>5433</v>
      </c>
    </row>
    <row r="16" spans="1:25" ht="12" customHeight="1" thickBot="1">
      <c r="A16" s="697" t="s">
        <v>1678</v>
      </c>
      <c r="B16" s="698">
        <v>5436</v>
      </c>
      <c r="C16" s="1655">
        <v>22058</v>
      </c>
      <c r="D16" s="699">
        <v>15812</v>
      </c>
      <c r="E16" s="700">
        <v>13098</v>
      </c>
      <c r="F16" s="687" t="s">
        <v>1541</v>
      </c>
      <c r="G16" s="688"/>
      <c r="H16" s="689"/>
      <c r="I16" s="689"/>
      <c r="J16" s="689"/>
      <c r="K16" s="690">
        <v>54634</v>
      </c>
      <c r="L16" s="677"/>
      <c r="M16" s="677"/>
      <c r="N16" s="691">
        <v>36639</v>
      </c>
      <c r="O16" s="679">
        <v>39294</v>
      </c>
      <c r="P16" s="680" t="s">
        <v>635</v>
      </c>
      <c r="Q16" s="692"/>
      <c r="R16" s="538">
        <v>25</v>
      </c>
      <c r="S16" s="682">
        <v>32</v>
      </c>
      <c r="T16" s="538">
        <v>5.5</v>
      </c>
      <c r="U16" s="538">
        <v>3000</v>
      </c>
      <c r="V16" s="1645">
        <v>5179</v>
      </c>
      <c r="W16" s="1642">
        <v>12085</v>
      </c>
      <c r="X16" s="548">
        <v>6401</v>
      </c>
      <c r="Y16" s="548">
        <v>5433</v>
      </c>
    </row>
    <row r="17" spans="1:25" ht="12" customHeight="1">
      <c r="A17" s="701" t="s">
        <v>1679</v>
      </c>
      <c r="B17" s="702">
        <v>5664</v>
      </c>
      <c r="C17" s="703">
        <v>17065</v>
      </c>
      <c r="D17" s="695">
        <v>12154</v>
      </c>
      <c r="E17" s="689">
        <v>13393</v>
      </c>
      <c r="F17" s="687" t="s">
        <v>1542</v>
      </c>
      <c r="G17" s="688"/>
      <c r="H17" s="689"/>
      <c r="I17" s="689"/>
      <c r="J17" s="689"/>
      <c r="K17" s="690">
        <v>50755</v>
      </c>
      <c r="L17" s="677"/>
      <c r="M17" s="677"/>
      <c r="N17" s="691">
        <v>38527</v>
      </c>
      <c r="O17" s="679">
        <v>39235</v>
      </c>
      <c r="P17" s="680" t="s">
        <v>636</v>
      </c>
      <c r="Q17" s="692"/>
      <c r="R17" s="538">
        <v>15</v>
      </c>
      <c r="S17" s="682">
        <v>22</v>
      </c>
      <c r="T17" s="538">
        <v>2.2</v>
      </c>
      <c r="U17" s="538">
        <v>3000</v>
      </c>
      <c r="V17" s="1645">
        <v>5179</v>
      </c>
      <c r="W17" s="1642">
        <v>9315</v>
      </c>
      <c r="X17" s="548">
        <v>3666</v>
      </c>
      <c r="Y17" s="548">
        <v>5433</v>
      </c>
    </row>
    <row r="18" spans="1:25" ht="12" customHeight="1">
      <c r="A18" s="704" t="s">
        <v>1680</v>
      </c>
      <c r="B18" s="705">
        <v>6114</v>
      </c>
      <c r="C18" s="706">
        <v>18172</v>
      </c>
      <c r="D18" s="687">
        <v>12449</v>
      </c>
      <c r="E18" s="689">
        <v>14101</v>
      </c>
      <c r="F18" s="687" t="s">
        <v>1543</v>
      </c>
      <c r="G18" s="688"/>
      <c r="H18" s="689"/>
      <c r="I18" s="689"/>
      <c r="J18" s="689"/>
      <c r="K18" s="690">
        <v>57466</v>
      </c>
      <c r="L18" s="677"/>
      <c r="M18" s="677"/>
      <c r="N18" s="691">
        <v>44132</v>
      </c>
      <c r="O18" s="679">
        <v>41300</v>
      </c>
      <c r="P18" s="680" t="s">
        <v>637</v>
      </c>
      <c r="Q18" s="692"/>
      <c r="R18" s="538">
        <v>25</v>
      </c>
      <c r="S18" s="682">
        <v>32</v>
      </c>
      <c r="T18" s="538">
        <v>5.5</v>
      </c>
      <c r="U18" s="538">
        <v>3000</v>
      </c>
      <c r="V18" s="1645">
        <v>7261</v>
      </c>
      <c r="W18" s="1642">
        <v>14260</v>
      </c>
      <c r="X18" s="548">
        <v>6401</v>
      </c>
      <c r="Y18" s="548">
        <v>8994</v>
      </c>
    </row>
    <row r="19" spans="1:25" ht="12" customHeight="1">
      <c r="A19" s="704" t="s">
        <v>1681</v>
      </c>
      <c r="B19" s="705">
        <v>6348</v>
      </c>
      <c r="C19" s="706">
        <v>18272</v>
      </c>
      <c r="D19" s="707">
        <v>13157</v>
      </c>
      <c r="E19" s="689">
        <v>14396</v>
      </c>
      <c r="F19" s="687" t="s">
        <v>1544</v>
      </c>
      <c r="G19" s="688"/>
      <c r="H19" s="689"/>
      <c r="I19" s="689"/>
      <c r="J19" s="689"/>
      <c r="K19" s="690">
        <v>61125</v>
      </c>
      <c r="L19" s="677"/>
      <c r="M19" s="677"/>
      <c r="N19" s="691">
        <v>46964</v>
      </c>
      <c r="O19" s="679">
        <v>47318</v>
      </c>
      <c r="P19" s="680" t="s">
        <v>623</v>
      </c>
      <c r="Q19" s="681"/>
      <c r="R19" s="538">
        <v>45</v>
      </c>
      <c r="S19" s="682">
        <v>30</v>
      </c>
      <c r="T19" s="538">
        <v>7.5</v>
      </c>
      <c r="U19" s="538">
        <v>3000</v>
      </c>
      <c r="V19" s="1645">
        <v>6983</v>
      </c>
      <c r="W19" s="1642">
        <v>16467</v>
      </c>
      <c r="X19" s="548">
        <v>8568</v>
      </c>
      <c r="Y19" s="548">
        <v>7596</v>
      </c>
    </row>
    <row r="20" spans="1:25" ht="12" customHeight="1" thickBot="1">
      <c r="A20" s="704" t="s">
        <v>1689</v>
      </c>
      <c r="B20" s="705">
        <v>5436</v>
      </c>
      <c r="C20" s="706">
        <v>18766</v>
      </c>
      <c r="D20" s="707">
        <v>13393</v>
      </c>
      <c r="E20" s="689">
        <v>15222</v>
      </c>
      <c r="F20" s="687" t="s">
        <v>1545</v>
      </c>
      <c r="G20" s="688"/>
      <c r="H20" s="689"/>
      <c r="I20" s="689"/>
      <c r="J20" s="689"/>
      <c r="K20" s="690">
        <v>69856</v>
      </c>
      <c r="L20" s="708"/>
      <c r="M20" s="708"/>
      <c r="N20" s="709">
        <v>67732</v>
      </c>
      <c r="O20" s="679">
        <v>50327</v>
      </c>
      <c r="P20" s="680" t="s">
        <v>899</v>
      </c>
      <c r="Q20" s="692"/>
      <c r="R20" s="538">
        <v>50</v>
      </c>
      <c r="S20" s="682">
        <v>32</v>
      </c>
      <c r="T20" s="538">
        <v>7.5</v>
      </c>
      <c r="U20" s="538">
        <v>3000</v>
      </c>
      <c r="V20" s="1641">
        <v>8087</v>
      </c>
      <c r="W20" s="1642">
        <v>17563</v>
      </c>
      <c r="X20" s="548">
        <v>8568</v>
      </c>
      <c r="Y20" s="548">
        <v>13904</v>
      </c>
    </row>
    <row r="21" spans="1:25" ht="12" customHeight="1" thickBot="1">
      <c r="A21" s="704" t="s">
        <v>1682</v>
      </c>
      <c r="B21" s="705">
        <v>5742</v>
      </c>
      <c r="C21" s="706">
        <v>19808</v>
      </c>
      <c r="D21" s="707">
        <v>14219</v>
      </c>
      <c r="E21" s="696">
        <v>16284</v>
      </c>
      <c r="F21" s="699" t="s">
        <v>1546</v>
      </c>
      <c r="G21" s="710"/>
      <c r="H21" s="696"/>
      <c r="I21" s="696"/>
      <c r="J21" s="696"/>
      <c r="K21" s="711">
        <v>101539</v>
      </c>
      <c r="L21" s="712"/>
      <c r="M21" s="712"/>
      <c r="N21" s="713">
        <v>45961</v>
      </c>
      <c r="O21" s="679">
        <v>72570</v>
      </c>
      <c r="P21" s="680" t="s">
        <v>638</v>
      </c>
      <c r="Q21" s="692"/>
      <c r="R21" s="538">
        <v>50</v>
      </c>
      <c r="S21" s="682">
        <v>50</v>
      </c>
      <c r="T21" s="538">
        <v>15</v>
      </c>
      <c r="U21" s="538">
        <v>3000</v>
      </c>
      <c r="V21" s="1645">
        <v>8190</v>
      </c>
      <c r="W21" s="1642">
        <v>23767</v>
      </c>
      <c r="X21" s="548">
        <v>18025</v>
      </c>
      <c r="Y21" s="548">
        <v>8909</v>
      </c>
    </row>
    <row r="22" spans="1:25" ht="12" customHeight="1" thickBot="1">
      <c r="A22" s="714" t="s">
        <v>1683</v>
      </c>
      <c r="B22" s="705">
        <v>6348</v>
      </c>
      <c r="C22" s="715">
        <v>21180</v>
      </c>
      <c r="D22" s="707">
        <v>15163</v>
      </c>
      <c r="E22" s="700">
        <v>13098</v>
      </c>
      <c r="F22" s="716" t="s">
        <v>1547</v>
      </c>
      <c r="G22" s="717"/>
      <c r="H22" s="700"/>
      <c r="I22" s="700"/>
      <c r="J22" s="700"/>
      <c r="K22" s="676">
        <v>64911</v>
      </c>
      <c r="L22" s="718"/>
      <c r="M22" s="718"/>
      <c r="N22" s="691">
        <v>48380</v>
      </c>
      <c r="O22" s="679">
        <v>49265</v>
      </c>
      <c r="P22" s="680" t="s">
        <v>639</v>
      </c>
      <c r="Q22" s="719"/>
      <c r="R22" s="538">
        <v>45</v>
      </c>
      <c r="S22" s="682">
        <v>40</v>
      </c>
      <c r="T22" s="538">
        <v>11</v>
      </c>
      <c r="U22" s="538">
        <v>3000</v>
      </c>
      <c r="V22" s="1645">
        <v>8190</v>
      </c>
      <c r="W22" s="1642">
        <v>20486</v>
      </c>
      <c r="X22" s="548">
        <v>11298</v>
      </c>
      <c r="Y22" s="548">
        <v>8909</v>
      </c>
    </row>
    <row r="23" spans="1:25" ht="12" customHeight="1" thickBot="1">
      <c r="A23" s="701" t="s">
        <v>1684</v>
      </c>
      <c r="B23" s="698">
        <v>7026</v>
      </c>
      <c r="C23" s="703">
        <v>17065</v>
      </c>
      <c r="D23" s="720">
        <v>12154</v>
      </c>
      <c r="E23" s="689">
        <v>13511</v>
      </c>
      <c r="F23" s="687" t="s">
        <v>1548</v>
      </c>
      <c r="G23" s="721"/>
      <c r="H23" s="689"/>
      <c r="I23" s="689"/>
      <c r="J23" s="689"/>
      <c r="K23" s="690">
        <v>69520</v>
      </c>
      <c r="L23" s="708"/>
      <c r="M23" s="708"/>
      <c r="N23" s="709">
        <v>62068</v>
      </c>
      <c r="O23" s="679">
        <v>51861</v>
      </c>
      <c r="P23" s="722" t="s">
        <v>503</v>
      </c>
      <c r="Q23" s="692"/>
      <c r="R23" s="538">
        <v>90</v>
      </c>
      <c r="S23" s="538">
        <v>20</v>
      </c>
      <c r="T23" s="538">
        <v>7.5</v>
      </c>
      <c r="U23" s="538">
        <v>3000</v>
      </c>
      <c r="V23" s="1641">
        <v>15189</v>
      </c>
      <c r="W23" s="1656">
        <v>28072</v>
      </c>
      <c r="X23" s="548">
        <v>8568</v>
      </c>
      <c r="Y23" s="548"/>
    </row>
    <row r="24" spans="1:25" ht="12" customHeight="1" thickBot="1">
      <c r="A24" s="704" t="s">
        <v>1685</v>
      </c>
      <c r="B24" s="702">
        <v>8760</v>
      </c>
      <c r="C24" s="706">
        <v>17558</v>
      </c>
      <c r="D24" s="707">
        <v>12567</v>
      </c>
      <c r="E24" s="689">
        <v>14986</v>
      </c>
      <c r="F24" s="699" t="s">
        <v>1549</v>
      </c>
      <c r="G24" s="723"/>
      <c r="H24" s="724"/>
      <c r="I24" s="724"/>
      <c r="J24" s="724"/>
      <c r="K24" s="711">
        <v>83238</v>
      </c>
      <c r="L24" s="712"/>
      <c r="M24" s="712"/>
      <c r="N24" s="725">
        <v>31801</v>
      </c>
      <c r="O24" s="679">
        <v>66493</v>
      </c>
      <c r="P24" s="680" t="s">
        <v>640</v>
      </c>
      <c r="Q24" s="681"/>
      <c r="R24" s="538">
        <v>100</v>
      </c>
      <c r="S24" s="682">
        <v>32</v>
      </c>
      <c r="T24" s="538">
        <v>15</v>
      </c>
      <c r="U24" s="538">
        <v>3000</v>
      </c>
      <c r="V24" s="1645">
        <v>11436</v>
      </c>
      <c r="W24" s="1642">
        <v>29202</v>
      </c>
      <c r="X24" s="548">
        <v>18025</v>
      </c>
      <c r="Y24" s="548">
        <v>14967</v>
      </c>
    </row>
    <row r="25" spans="1:25" ht="12" customHeight="1">
      <c r="A25" s="704" t="s">
        <v>1686</v>
      </c>
      <c r="B25" s="705">
        <v>93366</v>
      </c>
      <c r="C25" s="706">
        <v>19424</v>
      </c>
      <c r="D25" s="707">
        <v>13983</v>
      </c>
      <c r="E25" s="689">
        <v>16874</v>
      </c>
      <c r="F25" s="695" t="s">
        <v>1550</v>
      </c>
      <c r="G25" s="726"/>
      <c r="H25" s="700"/>
      <c r="I25" s="700"/>
      <c r="J25" s="700"/>
      <c r="K25" s="676">
        <v>47495</v>
      </c>
      <c r="L25" s="718"/>
      <c r="M25" s="718"/>
      <c r="N25" s="691">
        <v>37642</v>
      </c>
      <c r="O25" s="679">
        <v>34102</v>
      </c>
      <c r="P25" s="680" t="s">
        <v>504</v>
      </c>
      <c r="Q25" s="692"/>
      <c r="R25" s="538">
        <v>90</v>
      </c>
      <c r="S25" s="682">
        <v>26</v>
      </c>
      <c r="T25" s="538">
        <v>11</v>
      </c>
      <c r="U25" s="538">
        <v>3000</v>
      </c>
      <c r="V25" s="1645">
        <v>11436</v>
      </c>
      <c r="W25" s="1642">
        <v>22426</v>
      </c>
      <c r="X25" s="548">
        <v>11298</v>
      </c>
      <c r="Y25" s="548">
        <v>14967</v>
      </c>
    </row>
    <row r="26" spans="1:25" ht="12" customHeight="1">
      <c r="A26" s="704" t="s">
        <v>1687</v>
      </c>
      <c r="B26" s="705">
        <v>7254</v>
      </c>
      <c r="C26" s="706">
        <v>21948</v>
      </c>
      <c r="D26" s="707">
        <v>15694</v>
      </c>
      <c r="E26" s="689">
        <v>19706</v>
      </c>
      <c r="F26" s="687" t="s">
        <v>1551</v>
      </c>
      <c r="G26" s="688"/>
      <c r="H26" s="689"/>
      <c r="I26" s="689"/>
      <c r="J26" s="689"/>
      <c r="K26" s="690">
        <v>56050</v>
      </c>
      <c r="L26" s="677"/>
      <c r="M26" s="677"/>
      <c r="N26" s="691">
        <v>45784</v>
      </c>
      <c r="O26" s="679">
        <v>40356</v>
      </c>
      <c r="P26" s="680" t="s">
        <v>641</v>
      </c>
      <c r="Q26" s="692"/>
      <c r="R26" s="538">
        <v>100</v>
      </c>
      <c r="S26" s="682">
        <v>50</v>
      </c>
      <c r="T26" s="538">
        <v>22</v>
      </c>
      <c r="U26" s="538">
        <v>3000</v>
      </c>
      <c r="V26" s="1645">
        <v>10321</v>
      </c>
      <c r="W26" s="1642">
        <v>34409</v>
      </c>
      <c r="X26" s="548">
        <v>23670</v>
      </c>
      <c r="Y26" s="548">
        <v>11824</v>
      </c>
    </row>
    <row r="27" spans="1:25" ht="12" customHeight="1">
      <c r="A27" s="704" t="s">
        <v>1688</v>
      </c>
      <c r="B27" s="705"/>
      <c r="C27" s="706">
        <v>25569</v>
      </c>
      <c r="D27" s="707">
        <v>18349</v>
      </c>
      <c r="E27" s="689">
        <v>20591</v>
      </c>
      <c r="F27" s="687" t="s">
        <v>1552</v>
      </c>
      <c r="G27" s="688"/>
      <c r="H27" s="689"/>
      <c r="I27" s="689"/>
      <c r="J27" s="689"/>
      <c r="K27" s="690">
        <v>68263</v>
      </c>
      <c r="L27" s="677"/>
      <c r="M27" s="677"/>
      <c r="N27" s="691">
        <v>49855</v>
      </c>
      <c r="O27" s="679">
        <v>49088</v>
      </c>
      <c r="P27" s="680" t="s">
        <v>642</v>
      </c>
      <c r="Q27" s="719"/>
      <c r="R27" s="538">
        <v>90</v>
      </c>
      <c r="S27" s="682">
        <v>40</v>
      </c>
      <c r="T27" s="538">
        <v>18.5</v>
      </c>
      <c r="U27" s="538">
        <v>3000</v>
      </c>
      <c r="V27" s="1645">
        <v>10321</v>
      </c>
      <c r="W27" s="1642">
        <v>29729</v>
      </c>
      <c r="X27" s="548">
        <v>19594</v>
      </c>
      <c r="Y27" s="548">
        <v>11824</v>
      </c>
    </row>
    <row r="28" spans="1:25" ht="12" customHeight="1" thickBot="1">
      <c r="A28" s="704" t="s">
        <v>1690</v>
      </c>
      <c r="B28" s="705">
        <v>8454</v>
      </c>
      <c r="C28" s="706">
        <v>26612</v>
      </c>
      <c r="D28" s="707">
        <v>19175</v>
      </c>
      <c r="E28" s="696">
        <v>22243</v>
      </c>
      <c r="F28" s="687" t="s">
        <v>1553</v>
      </c>
      <c r="G28" s="688"/>
      <c r="H28" s="689"/>
      <c r="I28" s="689"/>
      <c r="J28" s="689"/>
      <c r="K28" s="690">
        <v>74163</v>
      </c>
      <c r="L28" s="677"/>
      <c r="M28" s="677"/>
      <c r="N28" s="691">
        <v>72157</v>
      </c>
      <c r="O28" s="679">
        <v>53454</v>
      </c>
      <c r="P28" s="680" t="s">
        <v>643</v>
      </c>
      <c r="Q28" s="719"/>
      <c r="R28" s="538">
        <v>130</v>
      </c>
      <c r="S28" s="682">
        <v>45</v>
      </c>
      <c r="T28" s="538">
        <v>30</v>
      </c>
      <c r="U28" s="538">
        <v>3000</v>
      </c>
      <c r="V28" s="1645">
        <v>10321</v>
      </c>
      <c r="W28" s="1642">
        <v>37169</v>
      </c>
      <c r="X28" s="548">
        <v>26654</v>
      </c>
      <c r="Y28" s="548">
        <v>11824</v>
      </c>
    </row>
    <row r="29" spans="1:25" ht="12" customHeight="1" thickBot="1">
      <c r="A29" s="714" t="s">
        <v>1691</v>
      </c>
      <c r="B29" s="698">
        <v>8916</v>
      </c>
      <c r="C29" s="715">
        <v>28862</v>
      </c>
      <c r="D29" s="727">
        <v>20709</v>
      </c>
      <c r="E29" s="700">
        <v>17110</v>
      </c>
      <c r="F29" s="687" t="s">
        <v>1554</v>
      </c>
      <c r="G29" s="688"/>
      <c r="H29" s="689"/>
      <c r="I29" s="689"/>
      <c r="J29" s="689"/>
      <c r="K29" s="690">
        <v>107203</v>
      </c>
      <c r="L29" s="677"/>
      <c r="M29" s="677"/>
      <c r="N29" s="691">
        <v>86081</v>
      </c>
      <c r="O29" s="679">
        <v>77290</v>
      </c>
      <c r="P29" s="680" t="s">
        <v>644</v>
      </c>
      <c r="Q29" s="692"/>
      <c r="R29" s="538">
        <v>100</v>
      </c>
      <c r="S29" s="682">
        <v>80</v>
      </c>
      <c r="T29" s="538">
        <v>45</v>
      </c>
      <c r="U29" s="538">
        <v>3000</v>
      </c>
      <c r="V29" s="1645">
        <v>12747</v>
      </c>
      <c r="W29" s="1642">
        <v>49184</v>
      </c>
      <c r="X29" s="548">
        <v>44780</v>
      </c>
      <c r="Y29" s="548">
        <v>13939</v>
      </c>
    </row>
    <row r="30" spans="1:25" ht="12" customHeight="1" thickBot="1">
      <c r="A30" s="701" t="s">
        <v>1692</v>
      </c>
      <c r="B30" s="702"/>
      <c r="C30" s="703">
        <v>22167</v>
      </c>
      <c r="D30" s="720">
        <v>15930</v>
      </c>
      <c r="E30" s="689">
        <v>18939</v>
      </c>
      <c r="F30" s="687" t="s">
        <v>1555</v>
      </c>
      <c r="G30" s="688"/>
      <c r="H30" s="689"/>
      <c r="I30" s="689"/>
      <c r="J30" s="689"/>
      <c r="K30" s="690">
        <v>126673</v>
      </c>
      <c r="L30" s="708"/>
      <c r="M30" s="708"/>
      <c r="N30" s="709">
        <v>104607</v>
      </c>
      <c r="O30" s="679">
        <v>92217</v>
      </c>
      <c r="P30" s="680" t="s">
        <v>645</v>
      </c>
      <c r="Q30" s="719"/>
      <c r="R30" s="538">
        <v>90</v>
      </c>
      <c r="S30" s="682">
        <v>67</v>
      </c>
      <c r="T30" s="538">
        <v>37</v>
      </c>
      <c r="U30" s="538">
        <v>3000</v>
      </c>
      <c r="V30" s="1645">
        <v>12747</v>
      </c>
      <c r="W30" s="1642">
        <v>45764</v>
      </c>
      <c r="X30" s="548">
        <v>36973</v>
      </c>
      <c r="Y30" s="548">
        <v>13939</v>
      </c>
    </row>
    <row r="31" spans="1:25" ht="12" customHeight="1" thickBot="1">
      <c r="A31" s="704" t="s">
        <v>1693</v>
      </c>
      <c r="B31" s="705">
        <v>9666</v>
      </c>
      <c r="C31" s="706">
        <v>24472</v>
      </c>
      <c r="D31" s="707">
        <v>17641</v>
      </c>
      <c r="E31" s="689">
        <v>19942</v>
      </c>
      <c r="F31" s="699" t="s">
        <v>1556</v>
      </c>
      <c r="G31" s="710"/>
      <c r="H31" s="696"/>
      <c r="I31" s="696"/>
      <c r="J31" s="696"/>
      <c r="K31" s="711">
        <v>153754</v>
      </c>
      <c r="L31" s="712"/>
      <c r="M31" s="712"/>
      <c r="N31" s="725">
        <v>49678</v>
      </c>
      <c r="O31" s="679">
        <v>112100</v>
      </c>
      <c r="P31" s="680" t="s">
        <v>539</v>
      </c>
      <c r="Q31" s="692"/>
      <c r="R31" s="538">
        <v>200</v>
      </c>
      <c r="S31" s="682">
        <v>20</v>
      </c>
      <c r="T31" s="538">
        <v>18.5</v>
      </c>
      <c r="U31" s="538">
        <v>1500</v>
      </c>
      <c r="V31" s="1641">
        <v>44628</v>
      </c>
      <c r="W31" s="1642">
        <v>64169</v>
      </c>
      <c r="X31" s="548">
        <v>17633</v>
      </c>
      <c r="Y31" s="548"/>
    </row>
    <row r="32" spans="1:25" ht="12" customHeight="1">
      <c r="A32" s="704" t="s">
        <v>1694</v>
      </c>
      <c r="B32" s="705">
        <v>9444</v>
      </c>
      <c r="C32" s="706">
        <v>25789</v>
      </c>
      <c r="D32" s="707">
        <v>18585</v>
      </c>
      <c r="E32" s="689">
        <v>21122</v>
      </c>
      <c r="F32" s="695" t="s">
        <v>2065</v>
      </c>
      <c r="G32" s="717"/>
      <c r="H32" s="700"/>
      <c r="I32" s="700"/>
      <c r="J32" s="700"/>
      <c r="K32" s="728">
        <v>73927</v>
      </c>
      <c r="L32" s="729"/>
      <c r="M32" s="729"/>
      <c r="N32" s="691">
        <v>63779</v>
      </c>
      <c r="O32" s="679">
        <v>53218</v>
      </c>
      <c r="P32" s="680" t="s">
        <v>244</v>
      </c>
      <c r="Q32" s="692"/>
      <c r="R32" s="538">
        <v>200</v>
      </c>
      <c r="S32" s="682">
        <v>50</v>
      </c>
      <c r="T32" s="538">
        <v>55</v>
      </c>
      <c r="U32" s="538">
        <v>3000</v>
      </c>
      <c r="V32" s="1656"/>
      <c r="W32" s="1656">
        <v>138346</v>
      </c>
      <c r="X32" s="548">
        <v>44780</v>
      </c>
      <c r="Y32" s="548"/>
    </row>
    <row r="33" spans="1:25" ht="12" customHeight="1">
      <c r="A33" s="704" t="s">
        <v>1695</v>
      </c>
      <c r="B33" s="705">
        <v>9666</v>
      </c>
      <c r="C33" s="706">
        <v>27380</v>
      </c>
      <c r="D33" s="707">
        <v>19706</v>
      </c>
      <c r="E33" s="689">
        <v>22243</v>
      </c>
      <c r="F33" s="687" t="s">
        <v>1849</v>
      </c>
      <c r="G33" s="721"/>
      <c r="H33" s="689"/>
      <c r="I33" s="689"/>
      <c r="J33" s="689"/>
      <c r="K33" s="730">
        <v>92040</v>
      </c>
      <c r="L33" s="731"/>
      <c r="M33" s="731"/>
      <c r="N33" s="691">
        <v>82423</v>
      </c>
      <c r="O33" s="679">
        <v>68322</v>
      </c>
      <c r="P33" s="680" t="s">
        <v>646</v>
      </c>
      <c r="Q33" s="719"/>
      <c r="R33" s="538">
        <v>160</v>
      </c>
      <c r="S33" s="682">
        <v>30</v>
      </c>
      <c r="T33" s="538">
        <v>30</v>
      </c>
      <c r="U33" s="538">
        <v>1500</v>
      </c>
      <c r="V33" s="1656">
        <v>29512</v>
      </c>
      <c r="W33" s="1642">
        <v>57292</v>
      </c>
      <c r="X33" s="548">
        <v>29394</v>
      </c>
      <c r="Y33" s="548"/>
    </row>
    <row r="34" spans="1:25" ht="12" customHeight="1" thickBot="1">
      <c r="A34" s="732" t="s">
        <v>1696</v>
      </c>
      <c r="B34" s="705">
        <v>11406</v>
      </c>
      <c r="C34" s="706">
        <v>29849</v>
      </c>
      <c r="D34" s="707">
        <v>20709</v>
      </c>
      <c r="E34" s="696">
        <v>27494</v>
      </c>
      <c r="F34" s="687" t="s">
        <v>1850</v>
      </c>
      <c r="G34" s="721"/>
      <c r="H34" s="689"/>
      <c r="I34" s="689"/>
      <c r="J34" s="689"/>
      <c r="K34" s="730">
        <v>95580</v>
      </c>
      <c r="L34" s="733"/>
      <c r="M34" s="733"/>
      <c r="N34" s="709">
        <v>96229</v>
      </c>
      <c r="O34" s="679">
        <v>88323</v>
      </c>
      <c r="P34" s="680" t="s">
        <v>647</v>
      </c>
      <c r="Q34" s="719"/>
      <c r="R34" s="538">
        <v>200</v>
      </c>
      <c r="S34" s="682">
        <v>32</v>
      </c>
      <c r="T34" s="538">
        <v>30</v>
      </c>
      <c r="U34" s="538">
        <v>1500</v>
      </c>
      <c r="V34" s="1645">
        <v>27556</v>
      </c>
      <c r="W34" s="1642">
        <v>56682</v>
      </c>
      <c r="X34" s="548">
        <v>29394</v>
      </c>
      <c r="Y34" s="548">
        <v>30146</v>
      </c>
    </row>
    <row r="35" spans="1:25" ht="12" customHeight="1" thickBot="1">
      <c r="A35" s="734" t="s">
        <v>1926</v>
      </c>
      <c r="B35" s="698">
        <v>17298</v>
      </c>
      <c r="C35" s="715">
        <v>39117</v>
      </c>
      <c r="D35" s="727">
        <v>25665</v>
      </c>
      <c r="E35" s="700">
        <v>21004</v>
      </c>
      <c r="F35" s="699" t="s">
        <v>1893</v>
      </c>
      <c r="G35" s="735"/>
      <c r="H35" s="696"/>
      <c r="I35" s="696"/>
      <c r="J35" s="696"/>
      <c r="K35" s="730">
        <v>116230</v>
      </c>
      <c r="L35" s="729"/>
      <c r="M35" s="729"/>
      <c r="N35" s="725">
        <v>49147</v>
      </c>
      <c r="O35" s="679">
        <v>103132</v>
      </c>
      <c r="P35" s="680" t="s">
        <v>648</v>
      </c>
      <c r="Q35" s="719"/>
      <c r="R35" s="538">
        <v>290</v>
      </c>
      <c r="S35" s="682">
        <v>30</v>
      </c>
      <c r="T35" s="538">
        <v>37</v>
      </c>
      <c r="U35" s="538">
        <v>1500</v>
      </c>
      <c r="V35" s="1641">
        <v>42396</v>
      </c>
      <c r="W35" s="1642">
        <v>77640</v>
      </c>
      <c r="X35" s="548">
        <v>39066</v>
      </c>
      <c r="Y35" s="548"/>
    </row>
    <row r="36" spans="1:25" ht="12" customHeight="1" thickBot="1">
      <c r="A36" s="736" t="s">
        <v>1927</v>
      </c>
      <c r="B36" s="702"/>
      <c r="C36" s="703">
        <v>30385</v>
      </c>
      <c r="D36" s="720">
        <v>19588</v>
      </c>
      <c r="E36" s="696">
        <v>21358</v>
      </c>
      <c r="F36" s="695" t="s">
        <v>779</v>
      </c>
      <c r="G36" s="717"/>
      <c r="H36" s="700"/>
      <c r="I36" s="700"/>
      <c r="J36" s="700"/>
      <c r="K36" s="728">
        <v>74635</v>
      </c>
      <c r="L36" s="729"/>
      <c r="M36" s="729"/>
      <c r="N36" s="691">
        <v>51920</v>
      </c>
      <c r="O36" s="679">
        <v>52687</v>
      </c>
      <c r="P36" s="680" t="s">
        <v>649</v>
      </c>
      <c r="Q36" s="719"/>
      <c r="R36" s="538">
        <v>315</v>
      </c>
      <c r="S36" s="682">
        <v>32</v>
      </c>
      <c r="T36" s="538">
        <v>37</v>
      </c>
      <c r="U36" s="538">
        <v>1500</v>
      </c>
      <c r="V36" s="1641">
        <v>49954</v>
      </c>
      <c r="W36" s="1642">
        <v>86565</v>
      </c>
      <c r="X36" s="548">
        <v>39066</v>
      </c>
      <c r="Y36" s="548"/>
    </row>
    <row r="37" spans="1:25" ht="12" customHeight="1" thickBot="1">
      <c r="A37" s="734" t="s">
        <v>1928</v>
      </c>
      <c r="B37" s="698">
        <v>11856</v>
      </c>
      <c r="C37" s="715">
        <v>30975</v>
      </c>
      <c r="D37" s="727">
        <v>19942</v>
      </c>
      <c r="E37" s="700">
        <v>21417</v>
      </c>
      <c r="F37" s="687" t="s">
        <v>780</v>
      </c>
      <c r="G37" s="721"/>
      <c r="H37" s="689"/>
      <c r="I37" s="689"/>
      <c r="J37" s="689"/>
      <c r="K37" s="730">
        <v>78706</v>
      </c>
      <c r="L37" s="733"/>
      <c r="M37" s="733"/>
      <c r="N37" s="737">
        <v>72452</v>
      </c>
      <c r="O37" s="679">
        <v>55637</v>
      </c>
      <c r="P37" s="738" t="s">
        <v>502</v>
      </c>
      <c r="Q37" s="739"/>
      <c r="R37" s="550">
        <v>400</v>
      </c>
      <c r="S37" s="740">
        <v>50</v>
      </c>
      <c r="T37" s="550">
        <v>90</v>
      </c>
      <c r="U37" s="550">
        <v>1500</v>
      </c>
      <c r="V37" s="1657">
        <v>63775</v>
      </c>
      <c r="W37" s="1658">
        <v>138346</v>
      </c>
      <c r="X37" s="548">
        <v>70980</v>
      </c>
      <c r="Y37" s="548"/>
    </row>
    <row r="38" spans="1:23" ht="12" customHeight="1" thickBot="1">
      <c r="A38" s="701" t="s">
        <v>1697</v>
      </c>
      <c r="B38" s="702"/>
      <c r="C38" s="703">
        <v>27874</v>
      </c>
      <c r="D38" s="741">
        <v>20001</v>
      </c>
      <c r="E38" s="689">
        <v>22420</v>
      </c>
      <c r="F38" s="742" t="s">
        <v>265</v>
      </c>
      <c r="G38" s="735"/>
      <c r="H38" s="696"/>
      <c r="I38" s="696"/>
      <c r="J38" s="696"/>
      <c r="K38" s="743">
        <v>106762</v>
      </c>
      <c r="L38" s="744"/>
      <c r="M38" s="744"/>
      <c r="N38" s="725">
        <v>55696</v>
      </c>
      <c r="O38" s="679">
        <v>77644</v>
      </c>
      <c r="P38" s="2212" t="s">
        <v>178</v>
      </c>
      <c r="Q38" s="2213"/>
      <c r="R38" s="2213"/>
      <c r="S38" s="2213"/>
      <c r="T38" s="2213"/>
      <c r="U38" s="2213"/>
      <c r="V38" s="2213"/>
      <c r="W38" s="2213"/>
    </row>
    <row r="39" spans="1:23" ht="12" customHeight="1" thickBot="1">
      <c r="A39" s="732" t="s">
        <v>1527</v>
      </c>
      <c r="B39" s="705">
        <v>12834</v>
      </c>
      <c r="C39" s="706">
        <v>29081</v>
      </c>
      <c r="D39" s="745">
        <v>20886</v>
      </c>
      <c r="E39" s="689">
        <v>30857</v>
      </c>
      <c r="F39" s="695" t="s">
        <v>781</v>
      </c>
      <c r="G39" s="717"/>
      <c r="H39" s="700"/>
      <c r="I39" s="700"/>
      <c r="J39" s="700"/>
      <c r="K39" s="728">
        <v>82777</v>
      </c>
      <c r="L39" s="729"/>
      <c r="M39" s="729"/>
      <c r="N39" s="691">
        <v>76228</v>
      </c>
      <c r="O39" s="679">
        <v>59649</v>
      </c>
      <c r="P39" s="2214"/>
      <c r="Q39" s="2215"/>
      <c r="R39" s="2215"/>
      <c r="S39" s="2215"/>
      <c r="T39" s="2215"/>
      <c r="U39" s="2215"/>
      <c r="V39" s="2215"/>
      <c r="W39" s="2215"/>
    </row>
    <row r="40" spans="1:23" ht="12" customHeight="1" thickBot="1">
      <c r="A40" s="732" t="s">
        <v>1528</v>
      </c>
      <c r="B40" s="705"/>
      <c r="C40" s="706">
        <v>40714</v>
      </c>
      <c r="D40" s="745">
        <v>28733</v>
      </c>
      <c r="E40" s="696">
        <v>35341</v>
      </c>
      <c r="F40" s="687" t="s">
        <v>782</v>
      </c>
      <c r="G40" s="721"/>
      <c r="H40" s="689"/>
      <c r="I40" s="689"/>
      <c r="J40" s="689"/>
      <c r="K40" s="730">
        <v>113339</v>
      </c>
      <c r="L40" s="733"/>
      <c r="M40" s="733"/>
      <c r="N40" s="709">
        <v>103073</v>
      </c>
      <c r="O40" s="679">
        <v>81656</v>
      </c>
      <c r="P40" s="746" t="s">
        <v>534</v>
      </c>
      <c r="Q40" s="747"/>
      <c r="R40" s="549">
        <v>10</v>
      </c>
      <c r="S40" s="668">
        <v>40</v>
      </c>
      <c r="T40" s="549">
        <v>3</v>
      </c>
      <c r="U40" s="549">
        <v>3000</v>
      </c>
      <c r="V40" s="748"/>
      <c r="W40" s="749">
        <v>20610</v>
      </c>
    </row>
    <row r="41" spans="1:23" ht="12" customHeight="1" thickBot="1">
      <c r="A41" s="734" t="s">
        <v>1529</v>
      </c>
      <c r="B41" s="698">
        <v>16992</v>
      </c>
      <c r="C41" s="715">
        <v>46530</v>
      </c>
      <c r="D41" s="750">
        <v>32981</v>
      </c>
      <c r="E41" s="700">
        <v>20591</v>
      </c>
      <c r="F41" s="699" t="s">
        <v>783</v>
      </c>
      <c r="G41" s="735"/>
      <c r="H41" s="696"/>
      <c r="I41" s="696"/>
      <c r="J41" s="696"/>
      <c r="K41" s="743">
        <v>151571</v>
      </c>
      <c r="L41" s="744"/>
      <c r="M41" s="744"/>
      <c r="N41" s="751">
        <v>106554</v>
      </c>
      <c r="O41" s="679">
        <v>110448</v>
      </c>
      <c r="P41" s="722" t="s">
        <v>901</v>
      </c>
      <c r="Q41" s="752"/>
      <c r="R41" s="538">
        <v>12.5</v>
      </c>
      <c r="S41" s="682">
        <v>20</v>
      </c>
      <c r="T41" s="538">
        <v>2.2</v>
      </c>
      <c r="U41" s="538">
        <v>3000</v>
      </c>
      <c r="V41" s="753"/>
      <c r="W41" s="754">
        <v>11800</v>
      </c>
    </row>
    <row r="42" spans="1:23" ht="12" customHeight="1">
      <c r="A42" s="736" t="s">
        <v>1530</v>
      </c>
      <c r="B42" s="702">
        <v>16992</v>
      </c>
      <c r="C42" s="703">
        <v>26612</v>
      </c>
      <c r="D42" s="755">
        <v>19175</v>
      </c>
      <c r="E42" s="756">
        <v>22066</v>
      </c>
      <c r="F42" s="757" t="s">
        <v>266</v>
      </c>
      <c r="G42" s="717"/>
      <c r="H42" s="700"/>
      <c r="I42" s="758"/>
      <c r="J42" s="758"/>
      <c r="K42" s="759">
        <v>153695</v>
      </c>
      <c r="L42" s="729"/>
      <c r="M42" s="729"/>
      <c r="N42" s="691">
        <v>144786</v>
      </c>
      <c r="O42" s="679">
        <v>114165</v>
      </c>
      <c r="P42" s="722" t="s">
        <v>535</v>
      </c>
      <c r="Q42" s="752"/>
      <c r="R42" s="538">
        <v>12.5</v>
      </c>
      <c r="S42" s="682">
        <v>50</v>
      </c>
      <c r="T42" s="538">
        <v>5.5</v>
      </c>
      <c r="U42" s="538">
        <v>3000</v>
      </c>
      <c r="V42" s="753"/>
      <c r="W42" s="754">
        <v>14750</v>
      </c>
    </row>
    <row r="43" spans="1:23" ht="12" customHeight="1" thickBot="1">
      <c r="A43" s="704" t="s">
        <v>1531</v>
      </c>
      <c r="B43" s="705"/>
      <c r="C43" s="706">
        <v>28697</v>
      </c>
      <c r="D43" s="760">
        <v>20532</v>
      </c>
      <c r="E43" s="756">
        <v>22302</v>
      </c>
      <c r="F43" s="687" t="s">
        <v>128</v>
      </c>
      <c r="G43" s="721"/>
      <c r="H43" s="689"/>
      <c r="I43" s="689"/>
      <c r="J43" s="689"/>
      <c r="K43" s="730">
        <v>208683</v>
      </c>
      <c r="L43" s="733"/>
      <c r="M43" s="733"/>
      <c r="N43" s="709">
        <v>178062</v>
      </c>
      <c r="O43" s="679">
        <v>155111</v>
      </c>
      <c r="P43" s="722" t="s">
        <v>902</v>
      </c>
      <c r="Q43" s="752"/>
      <c r="R43" s="538">
        <v>25</v>
      </c>
      <c r="S43" s="682">
        <v>32</v>
      </c>
      <c r="T43" s="538">
        <v>5.5</v>
      </c>
      <c r="U43" s="538">
        <v>3000</v>
      </c>
      <c r="V43" s="753"/>
      <c r="W43" s="754">
        <v>14974</v>
      </c>
    </row>
    <row r="44" spans="1:23" ht="12" customHeight="1" thickBot="1">
      <c r="A44" s="704" t="s">
        <v>1532</v>
      </c>
      <c r="B44" s="705"/>
      <c r="C44" s="706">
        <v>28971</v>
      </c>
      <c r="D44" s="760">
        <v>20768</v>
      </c>
      <c r="E44" s="756">
        <v>26019</v>
      </c>
      <c r="F44" s="761" t="s">
        <v>129</v>
      </c>
      <c r="G44" s="735"/>
      <c r="H44" s="696"/>
      <c r="I44" s="724"/>
      <c r="J44" s="724"/>
      <c r="K44" s="762">
        <v>256709</v>
      </c>
      <c r="L44" s="744"/>
      <c r="M44" s="744"/>
      <c r="N44" s="725">
        <v>44840</v>
      </c>
      <c r="O44" s="679">
        <v>190747</v>
      </c>
      <c r="P44" s="722" t="s">
        <v>511</v>
      </c>
      <c r="Q44" s="752"/>
      <c r="R44" s="538">
        <v>50</v>
      </c>
      <c r="S44" s="682">
        <v>32</v>
      </c>
      <c r="T44" s="538">
        <v>7.5</v>
      </c>
      <c r="U44" s="538">
        <v>3000</v>
      </c>
      <c r="V44" s="753"/>
      <c r="W44" s="754">
        <v>18733</v>
      </c>
    </row>
    <row r="45" spans="1:23" ht="12" customHeight="1" thickBot="1">
      <c r="A45" s="714" t="s">
        <v>1533</v>
      </c>
      <c r="B45" s="705"/>
      <c r="C45" s="715">
        <v>33635</v>
      </c>
      <c r="D45" s="760">
        <v>24249</v>
      </c>
      <c r="E45" s="763">
        <v>26019</v>
      </c>
      <c r="F45" s="695" t="s">
        <v>2048</v>
      </c>
      <c r="G45" s="717"/>
      <c r="H45" s="700"/>
      <c r="I45" s="700"/>
      <c r="J45" s="700"/>
      <c r="K45" s="728">
        <v>68086</v>
      </c>
      <c r="L45" s="744"/>
      <c r="M45" s="744"/>
      <c r="N45" s="709">
        <v>68617</v>
      </c>
      <c r="O45" s="679">
        <v>48026</v>
      </c>
      <c r="P45" s="722" t="s">
        <v>903</v>
      </c>
      <c r="Q45" s="752"/>
      <c r="R45" s="538">
        <v>50</v>
      </c>
      <c r="S45" s="682">
        <v>50</v>
      </c>
      <c r="T45" s="538">
        <v>15</v>
      </c>
      <c r="U45" s="538">
        <v>3000</v>
      </c>
      <c r="V45" s="753"/>
      <c r="W45" s="754">
        <v>28001</v>
      </c>
    </row>
    <row r="46" spans="1:23" ht="12" customHeight="1" thickBot="1">
      <c r="A46" s="701" t="s">
        <v>1534</v>
      </c>
      <c r="B46" s="701">
        <v>41241</v>
      </c>
      <c r="C46" s="703">
        <v>52181</v>
      </c>
      <c r="D46" s="760">
        <v>37701</v>
      </c>
      <c r="E46" s="764">
        <v>40415</v>
      </c>
      <c r="F46" s="699" t="s">
        <v>2049</v>
      </c>
      <c r="G46" s="735"/>
      <c r="H46" s="696"/>
      <c r="I46" s="696"/>
      <c r="J46" s="696"/>
      <c r="K46" s="743">
        <v>102011</v>
      </c>
      <c r="L46" s="744"/>
      <c r="M46" s="744"/>
      <c r="N46" s="725">
        <v>68794</v>
      </c>
      <c r="O46" s="679">
        <v>73514</v>
      </c>
      <c r="P46" s="722" t="s">
        <v>904</v>
      </c>
      <c r="Q46" s="752"/>
      <c r="R46" s="538">
        <v>100</v>
      </c>
      <c r="S46" s="682">
        <v>32</v>
      </c>
      <c r="T46" s="538">
        <v>15</v>
      </c>
      <c r="U46" s="538">
        <v>3000</v>
      </c>
      <c r="V46" s="753"/>
      <c r="W46" s="754">
        <v>29943</v>
      </c>
    </row>
    <row r="47" spans="1:23" ht="12" customHeight="1" thickBot="1">
      <c r="A47" s="734" t="s">
        <v>1535</v>
      </c>
      <c r="B47" s="714">
        <v>48085</v>
      </c>
      <c r="C47" s="715">
        <v>62113</v>
      </c>
      <c r="D47" s="765">
        <v>43955</v>
      </c>
      <c r="E47" s="766">
        <v>47141</v>
      </c>
      <c r="F47" s="695" t="s">
        <v>500</v>
      </c>
      <c r="G47" s="726"/>
      <c r="H47" s="700"/>
      <c r="I47" s="700"/>
      <c r="J47" s="700"/>
      <c r="K47" s="728">
        <v>182251</v>
      </c>
      <c r="L47" s="729"/>
      <c r="M47" s="729"/>
      <c r="N47" s="767">
        <v>124018</v>
      </c>
      <c r="O47" s="679">
        <v>73750</v>
      </c>
      <c r="P47" s="768" t="s">
        <v>905</v>
      </c>
      <c r="Q47" s="769"/>
      <c r="R47" s="550">
        <v>100</v>
      </c>
      <c r="S47" s="740">
        <v>50</v>
      </c>
      <c r="T47" s="550">
        <v>30</v>
      </c>
      <c r="U47" s="550">
        <v>3000</v>
      </c>
      <c r="V47" s="770"/>
      <c r="W47" s="771">
        <v>42480</v>
      </c>
    </row>
    <row r="48" spans="1:23" ht="12" customHeight="1" thickBot="1">
      <c r="A48" s="701" t="s">
        <v>1536</v>
      </c>
      <c r="B48" s="701">
        <v>26727</v>
      </c>
      <c r="C48" s="703">
        <v>30892</v>
      </c>
      <c r="D48" s="695">
        <v>24426</v>
      </c>
      <c r="E48" s="772">
        <v>26196</v>
      </c>
      <c r="F48" s="773" t="s">
        <v>501</v>
      </c>
      <c r="G48" s="688"/>
      <c r="H48" s="689"/>
      <c r="I48" s="689"/>
      <c r="J48" s="689"/>
      <c r="K48" s="730">
        <v>182251</v>
      </c>
      <c r="L48" s="731"/>
      <c r="M48" s="731"/>
      <c r="N48" s="767">
        <v>178121</v>
      </c>
      <c r="O48" s="679">
        <v>132809</v>
      </c>
      <c r="P48" s="2232" t="s">
        <v>97</v>
      </c>
      <c r="Q48" s="2232"/>
      <c r="R48" s="2232"/>
      <c r="S48" s="2232"/>
      <c r="T48" s="2232"/>
      <c r="U48" s="2232"/>
      <c r="V48" s="2232"/>
      <c r="W48" s="2232"/>
    </row>
    <row r="49" spans="1:25" ht="12" customHeight="1" thickBot="1">
      <c r="A49" s="704" t="s">
        <v>1537</v>
      </c>
      <c r="B49" s="704">
        <v>28143</v>
      </c>
      <c r="C49" s="706">
        <v>38409</v>
      </c>
      <c r="D49" s="687">
        <v>25724</v>
      </c>
      <c r="E49" s="772">
        <v>27553</v>
      </c>
      <c r="F49" s="773" t="s">
        <v>2061</v>
      </c>
      <c r="G49" s="688"/>
      <c r="H49" s="689"/>
      <c r="I49" s="689"/>
      <c r="J49" s="689"/>
      <c r="K49" s="730">
        <v>266857</v>
      </c>
      <c r="L49" s="733"/>
      <c r="M49" s="733"/>
      <c r="N49" s="774">
        <v>210158</v>
      </c>
      <c r="O49" s="679">
        <v>190806</v>
      </c>
      <c r="P49" s="775" t="s">
        <v>540</v>
      </c>
      <c r="Q49" s="776"/>
      <c r="R49" s="777">
        <v>3.6</v>
      </c>
      <c r="S49" s="777">
        <v>16</v>
      </c>
      <c r="T49" s="777">
        <v>1.5</v>
      </c>
      <c r="U49" s="777">
        <v>1500</v>
      </c>
      <c r="V49" s="1659">
        <v>13369</v>
      </c>
      <c r="W49" s="1660">
        <v>19040</v>
      </c>
      <c r="X49" s="778">
        <v>3518</v>
      </c>
      <c r="Y49" s="779">
        <v>13463.8</v>
      </c>
    </row>
    <row r="50" spans="1:25" ht="12" customHeight="1" thickBot="1" thickTop="1">
      <c r="A50" s="780"/>
      <c r="B50" s="781"/>
      <c r="C50" s="782"/>
      <c r="D50" s="783">
        <v>21712</v>
      </c>
      <c r="E50" s="784"/>
      <c r="F50" s="742" t="s">
        <v>267</v>
      </c>
      <c r="G50" s="710"/>
      <c r="H50" s="696"/>
      <c r="I50" s="696"/>
      <c r="J50" s="696"/>
      <c r="K50" s="743">
        <v>314883</v>
      </c>
      <c r="L50" s="733"/>
      <c r="M50" s="733"/>
      <c r="N50" s="785"/>
      <c r="O50" s="679">
        <v>225085</v>
      </c>
      <c r="P50" s="786" t="s">
        <v>541</v>
      </c>
      <c r="Q50" s="787"/>
      <c r="R50" s="788">
        <v>7.2</v>
      </c>
      <c r="S50" s="788">
        <v>26</v>
      </c>
      <c r="T50" s="788">
        <v>4</v>
      </c>
      <c r="U50" s="788">
        <v>1500</v>
      </c>
      <c r="V50" s="1661">
        <v>14597</v>
      </c>
      <c r="W50" s="1662">
        <v>22759</v>
      </c>
      <c r="X50" s="778">
        <v>5996</v>
      </c>
      <c r="Y50" s="779">
        <v>14644</v>
      </c>
    </row>
    <row r="51" spans="1:25" ht="12" customHeight="1">
      <c r="A51" s="2203" t="s">
        <v>1579</v>
      </c>
      <c r="B51" s="2203"/>
      <c r="C51" s="2203"/>
      <c r="D51" s="2203"/>
      <c r="E51" s="2203"/>
      <c r="F51" s="2203"/>
      <c r="G51" s="2203"/>
      <c r="H51" s="2203"/>
      <c r="I51" s="2203"/>
      <c r="J51" s="2203"/>
      <c r="K51" s="2203"/>
      <c r="L51" s="789"/>
      <c r="M51" s="789"/>
      <c r="N51" s="790">
        <v>158474</v>
      </c>
      <c r="O51" s="791"/>
      <c r="P51" s="786" t="s">
        <v>542</v>
      </c>
      <c r="Q51" s="787"/>
      <c r="R51" s="788">
        <v>14.4</v>
      </c>
      <c r="S51" s="788">
        <v>28</v>
      </c>
      <c r="T51" s="788">
        <v>7.5</v>
      </c>
      <c r="U51" s="788">
        <v>1500</v>
      </c>
      <c r="V51" s="1661">
        <v>15350</v>
      </c>
      <c r="W51" s="1662">
        <v>27627</v>
      </c>
      <c r="X51" s="778">
        <v>10187</v>
      </c>
      <c r="Y51" s="779">
        <v>15305</v>
      </c>
    </row>
    <row r="52" spans="1:25" ht="12" customHeight="1" thickBot="1">
      <c r="A52" s="2203"/>
      <c r="B52" s="2203"/>
      <c r="C52" s="2203"/>
      <c r="D52" s="2203"/>
      <c r="E52" s="2203"/>
      <c r="F52" s="2203"/>
      <c r="G52" s="2203"/>
      <c r="H52" s="2203"/>
      <c r="I52" s="2203"/>
      <c r="J52" s="2203"/>
      <c r="K52" s="2203"/>
      <c r="L52" s="789"/>
      <c r="M52" s="789"/>
      <c r="N52" s="792">
        <v>187030</v>
      </c>
      <c r="O52" s="791"/>
      <c r="P52" s="786" t="s">
        <v>543</v>
      </c>
      <c r="Q52" s="787"/>
      <c r="R52" s="788">
        <v>18</v>
      </c>
      <c r="S52" s="788">
        <v>24</v>
      </c>
      <c r="T52" s="788">
        <v>11</v>
      </c>
      <c r="U52" s="788">
        <v>1500</v>
      </c>
      <c r="V52" s="1661">
        <v>18010</v>
      </c>
      <c r="W52" s="1662">
        <v>31824</v>
      </c>
      <c r="X52" s="778">
        <v>11870</v>
      </c>
      <c r="Y52" s="779">
        <v>18585</v>
      </c>
    </row>
    <row r="53" spans="1:25" ht="12" customHeight="1" thickBot="1">
      <c r="A53" s="793" t="s">
        <v>1584</v>
      </c>
      <c r="B53" s="794"/>
      <c r="C53" s="795">
        <v>9021</v>
      </c>
      <c r="D53" s="796"/>
      <c r="E53" s="797"/>
      <c r="F53" s="798" t="s">
        <v>1583</v>
      </c>
      <c r="G53" s="799"/>
      <c r="H53" s="800"/>
      <c r="I53" s="800"/>
      <c r="J53" s="800"/>
      <c r="K53" s="795">
        <v>41943</v>
      </c>
      <c r="L53" s="801"/>
      <c r="M53" s="801"/>
      <c r="N53" s="655"/>
      <c r="O53" s="791"/>
      <c r="P53" s="802" t="s">
        <v>544</v>
      </c>
      <c r="Q53" s="803"/>
      <c r="R53" s="804">
        <v>36</v>
      </c>
      <c r="S53" s="804">
        <v>45</v>
      </c>
      <c r="T53" s="804">
        <v>30</v>
      </c>
      <c r="U53" s="804">
        <v>1500</v>
      </c>
      <c r="V53" s="1663">
        <v>22995</v>
      </c>
      <c r="W53" s="1664">
        <v>56133</v>
      </c>
      <c r="X53" s="778">
        <v>29394</v>
      </c>
      <c r="Y53" s="779">
        <v>23494</v>
      </c>
    </row>
    <row r="54" spans="1:23" ht="12" customHeight="1">
      <c r="A54" s="805" t="s">
        <v>1581</v>
      </c>
      <c r="B54" s="797"/>
      <c r="C54" s="806">
        <v>9547</v>
      </c>
      <c r="D54" s="796"/>
      <c r="E54" s="797"/>
      <c r="F54" s="2217" t="s">
        <v>1580</v>
      </c>
      <c r="G54" s="2218"/>
      <c r="H54" s="2219"/>
      <c r="I54" s="807"/>
      <c r="J54" s="807"/>
      <c r="K54" s="806">
        <v>9447</v>
      </c>
      <c r="L54" s="801"/>
      <c r="M54" s="801"/>
      <c r="N54" s="655"/>
      <c r="O54" s="791"/>
      <c r="P54" s="2210" t="s">
        <v>464</v>
      </c>
      <c r="Q54" s="2210"/>
      <c r="R54" s="2210"/>
      <c r="S54" s="2210"/>
      <c r="T54" s="2210"/>
      <c r="U54" s="2210"/>
      <c r="V54" s="2210"/>
      <c r="W54" s="2210"/>
    </row>
    <row r="55" spans="1:23" ht="12" customHeight="1" thickBot="1">
      <c r="A55" s="808" t="s">
        <v>1582</v>
      </c>
      <c r="B55" s="809"/>
      <c r="C55" s="810">
        <v>20082</v>
      </c>
      <c r="D55" s="811"/>
      <c r="E55" s="809"/>
      <c r="F55" s="2217" t="s">
        <v>755</v>
      </c>
      <c r="G55" s="2218"/>
      <c r="H55" s="2219"/>
      <c r="I55" s="807"/>
      <c r="J55" s="807"/>
      <c r="K55" s="810">
        <v>14604</v>
      </c>
      <c r="L55" s="801"/>
      <c r="M55" s="801"/>
      <c r="N55" s="655"/>
      <c r="O55" s="791"/>
      <c r="P55" s="2211"/>
      <c r="Q55" s="2211"/>
      <c r="R55" s="2211"/>
      <c r="S55" s="2211"/>
      <c r="T55" s="2211"/>
      <c r="U55" s="2211"/>
      <c r="V55" s="2211"/>
      <c r="W55" s="2211"/>
    </row>
    <row r="56" spans="1:25" ht="12" customHeight="1">
      <c r="A56" s="2204" t="s">
        <v>1777</v>
      </c>
      <c r="B56" s="2205"/>
      <c r="C56" s="2205"/>
      <c r="D56" s="2205"/>
      <c r="E56" s="2205"/>
      <c r="F56" s="2205"/>
      <c r="G56" s="2205"/>
      <c r="H56" s="2205"/>
      <c r="I56" s="2205"/>
      <c r="J56" s="2205"/>
      <c r="K56" s="2206"/>
      <c r="L56" s="812"/>
      <c r="M56" s="812"/>
      <c r="N56" s="813"/>
      <c r="O56" s="791"/>
      <c r="P56" s="775" t="s">
        <v>258</v>
      </c>
      <c r="Q56" s="814"/>
      <c r="R56" s="777">
        <v>1.6</v>
      </c>
      <c r="S56" s="815" t="s">
        <v>561</v>
      </c>
      <c r="T56" s="777">
        <v>2.2</v>
      </c>
      <c r="U56" s="816">
        <v>1500</v>
      </c>
      <c r="V56" s="1665">
        <v>21768</v>
      </c>
      <c r="W56" s="1666">
        <v>26579</v>
      </c>
      <c r="X56" s="818">
        <v>4503</v>
      </c>
      <c r="Y56" s="819">
        <v>20107</v>
      </c>
    </row>
    <row r="57" spans="1:25" ht="12" customHeight="1" thickBot="1">
      <c r="A57" s="2207"/>
      <c r="B57" s="2208"/>
      <c r="C57" s="2208"/>
      <c r="D57" s="2208"/>
      <c r="E57" s="2208"/>
      <c r="F57" s="2208"/>
      <c r="G57" s="2208"/>
      <c r="H57" s="2208"/>
      <c r="I57" s="2208"/>
      <c r="J57" s="2208"/>
      <c r="K57" s="2209"/>
      <c r="L57" s="812"/>
      <c r="M57" s="812"/>
      <c r="N57" s="820"/>
      <c r="O57" s="791"/>
      <c r="P57" s="786" t="s">
        <v>260</v>
      </c>
      <c r="Q57" s="821"/>
      <c r="R57" s="788">
        <v>4</v>
      </c>
      <c r="S57" s="822" t="s">
        <v>562</v>
      </c>
      <c r="T57" s="788">
        <v>2.2</v>
      </c>
      <c r="U57" s="823">
        <v>1500</v>
      </c>
      <c r="V57" s="1667">
        <v>22072</v>
      </c>
      <c r="W57" s="1668">
        <v>27762</v>
      </c>
      <c r="X57" s="818">
        <v>4503</v>
      </c>
      <c r="Y57" s="819">
        <v>20579</v>
      </c>
    </row>
    <row r="58" spans="1:25" ht="12" customHeight="1">
      <c r="A58" s="2231" t="s">
        <v>218</v>
      </c>
      <c r="B58" s="2231"/>
      <c r="C58" s="2231"/>
      <c r="D58" s="2231"/>
      <c r="E58" s="2231"/>
      <c r="F58" s="2231"/>
      <c r="G58" s="2231"/>
      <c r="H58" s="2231"/>
      <c r="I58" s="2231"/>
      <c r="J58" s="2231"/>
      <c r="K58" s="2231"/>
      <c r="L58" s="635"/>
      <c r="M58" s="635"/>
      <c r="N58" s="820"/>
      <c r="O58" s="791"/>
      <c r="P58" s="786" t="s">
        <v>261</v>
      </c>
      <c r="Q58" s="821"/>
      <c r="R58" s="788">
        <v>6.3</v>
      </c>
      <c r="S58" s="822" t="s">
        <v>563</v>
      </c>
      <c r="T58" s="788">
        <v>3</v>
      </c>
      <c r="U58" s="823">
        <v>1500</v>
      </c>
      <c r="V58" s="1667">
        <v>22498</v>
      </c>
      <c r="W58" s="1668">
        <v>29175</v>
      </c>
      <c r="X58" s="818">
        <v>5680</v>
      </c>
      <c r="Y58" s="819">
        <v>21393</v>
      </c>
    </row>
    <row r="59" spans="1:25" ht="12" customHeight="1" thickBot="1">
      <c r="A59" s="2231"/>
      <c r="B59" s="2231"/>
      <c r="C59" s="2231"/>
      <c r="D59" s="2231"/>
      <c r="E59" s="2231"/>
      <c r="F59" s="2231"/>
      <c r="G59" s="2231"/>
      <c r="H59" s="2231"/>
      <c r="I59" s="2231"/>
      <c r="J59" s="2231"/>
      <c r="K59" s="2231"/>
      <c r="L59" s="635"/>
      <c r="M59" s="635"/>
      <c r="N59" s="820"/>
      <c r="O59" s="791"/>
      <c r="P59" s="786" t="s">
        <v>1741</v>
      </c>
      <c r="Q59" s="821"/>
      <c r="R59" s="788"/>
      <c r="S59" s="822"/>
      <c r="T59" s="788">
        <v>5.5</v>
      </c>
      <c r="U59" s="823">
        <v>1000</v>
      </c>
      <c r="V59" s="825"/>
      <c r="W59" s="1669">
        <v>70509</v>
      </c>
      <c r="X59" s="819"/>
      <c r="Y59" s="819"/>
    </row>
    <row r="60" spans="1:25" ht="12" customHeight="1" thickBot="1">
      <c r="A60" s="826" t="s">
        <v>171</v>
      </c>
      <c r="B60" s="827"/>
      <c r="C60" s="828" t="s">
        <v>691</v>
      </c>
      <c r="D60" s="658"/>
      <c r="E60" s="658"/>
      <c r="F60" s="829" t="s">
        <v>174</v>
      </c>
      <c r="G60" s="636" t="s">
        <v>175</v>
      </c>
      <c r="H60" s="826" t="s">
        <v>1615</v>
      </c>
      <c r="I60" s="637"/>
      <c r="J60" s="637"/>
      <c r="K60" s="830" t="s">
        <v>184</v>
      </c>
      <c r="L60" s="813"/>
      <c r="M60" s="813"/>
      <c r="N60" s="831"/>
      <c r="O60" s="791"/>
      <c r="P60" s="786" t="s">
        <v>263</v>
      </c>
      <c r="Q60" s="821"/>
      <c r="R60" s="788">
        <v>19.5</v>
      </c>
      <c r="S60" s="822" t="s">
        <v>562</v>
      </c>
      <c r="T60" s="788">
        <v>5.5</v>
      </c>
      <c r="U60" s="823">
        <v>1000</v>
      </c>
      <c r="V60" s="825"/>
      <c r="W60" s="1669">
        <v>56473</v>
      </c>
      <c r="X60" s="819"/>
      <c r="Y60" s="819"/>
    </row>
    <row r="61" spans="1:25" ht="12" customHeight="1" thickBot="1">
      <c r="A61" s="832" t="s">
        <v>461</v>
      </c>
      <c r="B61" s="833"/>
      <c r="C61" s="834">
        <v>160</v>
      </c>
      <c r="D61" s="835">
        <v>112</v>
      </c>
      <c r="E61" s="835"/>
      <c r="F61" s="835">
        <v>112</v>
      </c>
      <c r="G61" s="816" t="s">
        <v>794</v>
      </c>
      <c r="H61" s="1670"/>
      <c r="I61" s="836"/>
      <c r="J61" s="836"/>
      <c r="K61" s="1671">
        <v>212624</v>
      </c>
      <c r="L61" s="837"/>
      <c r="M61" s="838"/>
      <c r="N61" s="831"/>
      <c r="O61" s="791"/>
      <c r="P61" s="802" t="s">
        <v>275</v>
      </c>
      <c r="Q61" s="839"/>
      <c r="R61" s="804">
        <v>37.5</v>
      </c>
      <c r="S61" s="840" t="s">
        <v>563</v>
      </c>
      <c r="T61" s="804">
        <v>11</v>
      </c>
      <c r="U61" s="841">
        <v>1000</v>
      </c>
      <c r="V61" s="842"/>
      <c r="W61" s="1672">
        <v>87100</v>
      </c>
      <c r="X61" s="819"/>
      <c r="Y61" s="819"/>
    </row>
    <row r="62" spans="1:23" ht="12" customHeight="1" thickBot="1">
      <c r="A62" s="843" t="s">
        <v>520</v>
      </c>
      <c r="B62" s="844"/>
      <c r="C62" s="845">
        <v>150</v>
      </c>
      <c r="D62" s="846">
        <v>100</v>
      </c>
      <c r="E62" s="846"/>
      <c r="F62" s="846">
        <v>100</v>
      </c>
      <c r="G62" s="823" t="s">
        <v>764</v>
      </c>
      <c r="H62" s="1673"/>
      <c r="I62" s="847"/>
      <c r="J62" s="847"/>
      <c r="K62" s="1674">
        <v>201246</v>
      </c>
      <c r="L62" s="837"/>
      <c r="M62" s="838"/>
      <c r="N62" s="831"/>
      <c r="O62" s="791"/>
      <c r="P62" s="2224" t="s">
        <v>262</v>
      </c>
      <c r="Q62" s="2224"/>
      <c r="R62" s="2224"/>
      <c r="S62" s="2224"/>
      <c r="T62" s="2224"/>
      <c r="U62" s="2224"/>
      <c r="V62" s="2224"/>
      <c r="W62" s="2224"/>
    </row>
    <row r="63" spans="1:23" ht="12" customHeight="1">
      <c r="A63" s="843" t="s">
        <v>462</v>
      </c>
      <c r="B63" s="844"/>
      <c r="C63" s="845">
        <v>135</v>
      </c>
      <c r="D63" s="846">
        <v>80</v>
      </c>
      <c r="E63" s="846"/>
      <c r="F63" s="846">
        <v>80</v>
      </c>
      <c r="G63" s="823" t="s">
        <v>763</v>
      </c>
      <c r="H63" s="1673"/>
      <c r="I63" s="847"/>
      <c r="J63" s="847"/>
      <c r="K63" s="1674">
        <v>173117</v>
      </c>
      <c r="L63" s="837"/>
      <c r="M63" s="838"/>
      <c r="N63" s="831"/>
      <c r="O63" s="791"/>
      <c r="P63" s="746" t="s">
        <v>565</v>
      </c>
      <c r="Q63" s="848"/>
      <c r="R63" s="549">
        <v>3</v>
      </c>
      <c r="S63" s="849" t="s">
        <v>564</v>
      </c>
      <c r="T63" s="850">
        <v>5.5</v>
      </c>
      <c r="U63" s="851">
        <v>1500</v>
      </c>
      <c r="V63" s="852"/>
      <c r="W63" s="1675">
        <v>55220</v>
      </c>
    </row>
    <row r="64" spans="1:23" ht="12" customHeight="1">
      <c r="A64" s="853" t="s">
        <v>521</v>
      </c>
      <c r="B64" s="844"/>
      <c r="C64" s="845">
        <v>200</v>
      </c>
      <c r="D64" s="846">
        <v>36</v>
      </c>
      <c r="E64" s="846"/>
      <c r="F64" s="846">
        <v>36</v>
      </c>
      <c r="G64" s="823" t="s">
        <v>800</v>
      </c>
      <c r="H64" s="1676">
        <v>52165</v>
      </c>
      <c r="I64" s="847">
        <v>51000</v>
      </c>
      <c r="J64" s="847">
        <v>39803</v>
      </c>
      <c r="K64" s="1674">
        <v>93060</v>
      </c>
      <c r="L64" s="854">
        <v>39066</v>
      </c>
      <c r="M64" s="838">
        <v>53064</v>
      </c>
      <c r="N64" s="831"/>
      <c r="O64" s="791"/>
      <c r="P64" s="722" t="s">
        <v>565</v>
      </c>
      <c r="Q64" s="855"/>
      <c r="R64" s="538">
        <v>6.8</v>
      </c>
      <c r="S64" s="856" t="s">
        <v>564</v>
      </c>
      <c r="T64" s="857">
        <v>7.5</v>
      </c>
      <c r="U64" s="858">
        <v>3000</v>
      </c>
      <c r="V64" s="859"/>
      <c r="W64" s="1677">
        <v>55792</v>
      </c>
    </row>
    <row r="65" spans="1:23" ht="12" customHeight="1">
      <c r="A65" s="853" t="s">
        <v>522</v>
      </c>
      <c r="B65" s="844"/>
      <c r="C65" s="845">
        <v>190</v>
      </c>
      <c r="D65" s="846">
        <v>29</v>
      </c>
      <c r="E65" s="846"/>
      <c r="F65" s="846">
        <v>29</v>
      </c>
      <c r="G65" s="823" t="s">
        <v>1750</v>
      </c>
      <c r="H65" s="1676">
        <v>52165</v>
      </c>
      <c r="I65" s="847">
        <v>51000</v>
      </c>
      <c r="J65" s="847">
        <v>29948</v>
      </c>
      <c r="K65" s="1674">
        <v>85838</v>
      </c>
      <c r="L65" s="837">
        <v>29394</v>
      </c>
      <c r="M65" s="838">
        <v>53064</v>
      </c>
      <c r="N65" s="831"/>
      <c r="O65" s="791"/>
      <c r="P65" s="722" t="s">
        <v>566</v>
      </c>
      <c r="Q65" s="855"/>
      <c r="R65" s="538">
        <v>8</v>
      </c>
      <c r="S65" s="856" t="s">
        <v>564</v>
      </c>
      <c r="T65" s="857">
        <v>15</v>
      </c>
      <c r="U65" s="858">
        <v>1500</v>
      </c>
      <c r="V65" s="859"/>
      <c r="W65" s="1677">
        <v>83762</v>
      </c>
    </row>
    <row r="66" spans="1:23" ht="12" customHeight="1" thickBot="1">
      <c r="A66" s="853" t="s">
        <v>848</v>
      </c>
      <c r="B66" s="844"/>
      <c r="C66" s="845">
        <v>200</v>
      </c>
      <c r="D66" s="846">
        <v>90</v>
      </c>
      <c r="E66" s="846"/>
      <c r="F66" s="846">
        <v>90</v>
      </c>
      <c r="G66" s="823" t="s">
        <v>794</v>
      </c>
      <c r="H66" s="1676">
        <v>38564</v>
      </c>
      <c r="I66" s="847">
        <v>39896</v>
      </c>
      <c r="J66" s="847">
        <v>76674.6</v>
      </c>
      <c r="K66" s="1674">
        <v>110215</v>
      </c>
      <c r="L66" s="837">
        <v>75255</v>
      </c>
      <c r="M66" s="838">
        <v>41512.4</v>
      </c>
      <c r="N66" s="831"/>
      <c r="O66" s="791"/>
      <c r="P66" s="768" t="s">
        <v>566</v>
      </c>
      <c r="Q66" s="860"/>
      <c r="R66" s="550">
        <v>20</v>
      </c>
      <c r="S66" s="861" t="s">
        <v>564</v>
      </c>
      <c r="T66" s="862">
        <v>22</v>
      </c>
      <c r="U66" s="863">
        <v>3000</v>
      </c>
      <c r="V66" s="864"/>
      <c r="W66" s="1678">
        <v>99201</v>
      </c>
    </row>
    <row r="67" spans="1:23" ht="12" customHeight="1" thickBot="1">
      <c r="A67" s="853" t="s">
        <v>888</v>
      </c>
      <c r="B67" s="844"/>
      <c r="C67" s="845">
        <v>180</v>
      </c>
      <c r="D67" s="846">
        <v>74</v>
      </c>
      <c r="E67" s="846"/>
      <c r="F67" s="846">
        <v>74</v>
      </c>
      <c r="G67" s="823" t="s">
        <v>764</v>
      </c>
      <c r="H67" s="1676">
        <v>38564</v>
      </c>
      <c r="I67" s="847">
        <v>39896</v>
      </c>
      <c r="J67" s="847">
        <v>69190</v>
      </c>
      <c r="K67" s="1674">
        <v>105394</v>
      </c>
      <c r="L67" s="837">
        <v>67909</v>
      </c>
      <c r="M67" s="865">
        <v>41512.4</v>
      </c>
      <c r="N67" s="831"/>
      <c r="O67" s="791"/>
      <c r="P67" s="2213" t="s">
        <v>179</v>
      </c>
      <c r="Q67" s="2213"/>
      <c r="R67" s="2213"/>
      <c r="S67" s="2213"/>
      <c r="T67" s="2213"/>
      <c r="U67" s="2213"/>
      <c r="V67" s="2213"/>
      <c r="W67" s="2213"/>
    </row>
    <row r="68" spans="1:23" ht="12" customHeight="1">
      <c r="A68" s="853" t="s">
        <v>889</v>
      </c>
      <c r="B68" s="844"/>
      <c r="C68" s="845">
        <v>160</v>
      </c>
      <c r="D68" s="846">
        <v>62</v>
      </c>
      <c r="E68" s="846"/>
      <c r="F68" s="846">
        <v>62</v>
      </c>
      <c r="G68" s="823" t="s">
        <v>763</v>
      </c>
      <c r="H68" s="1676">
        <v>38564</v>
      </c>
      <c r="I68" s="847">
        <v>39896</v>
      </c>
      <c r="J68" s="847">
        <v>52747</v>
      </c>
      <c r="K68" s="1674">
        <v>88038</v>
      </c>
      <c r="L68" s="837">
        <v>51770</v>
      </c>
      <c r="M68" s="865">
        <v>41512.4</v>
      </c>
      <c r="N68" s="831"/>
      <c r="O68" s="791"/>
      <c r="P68" s="666" t="s">
        <v>180</v>
      </c>
      <c r="Q68" s="848"/>
      <c r="R68" s="549">
        <v>12</v>
      </c>
      <c r="S68" s="668">
        <v>50</v>
      </c>
      <c r="T68" s="549">
        <v>5.5</v>
      </c>
      <c r="U68" s="549">
        <v>3000</v>
      </c>
      <c r="V68" s="850"/>
      <c r="W68" s="1679">
        <v>68282</v>
      </c>
    </row>
    <row r="69" spans="1:23" ht="12" customHeight="1">
      <c r="A69" s="853" t="s">
        <v>177</v>
      </c>
      <c r="B69" s="844"/>
      <c r="C69" s="845">
        <v>250</v>
      </c>
      <c r="D69" s="846">
        <v>125</v>
      </c>
      <c r="E69" s="846"/>
      <c r="F69" s="846">
        <v>125</v>
      </c>
      <c r="G69" s="823" t="s">
        <v>715</v>
      </c>
      <c r="H69" s="1673"/>
      <c r="I69" s="847"/>
      <c r="J69" s="847"/>
      <c r="K69" s="1680">
        <v>261006</v>
      </c>
      <c r="L69" s="837">
        <v>136040</v>
      </c>
      <c r="M69" s="838"/>
      <c r="N69" s="831"/>
      <c r="O69" s="791"/>
      <c r="P69" s="722" t="s">
        <v>181</v>
      </c>
      <c r="Q69" s="855"/>
      <c r="R69" s="538">
        <v>12</v>
      </c>
      <c r="S69" s="682">
        <v>110</v>
      </c>
      <c r="T69" s="538">
        <v>11</v>
      </c>
      <c r="U69" s="538">
        <v>3000</v>
      </c>
      <c r="V69" s="857"/>
      <c r="W69" s="1681">
        <v>93646</v>
      </c>
    </row>
    <row r="70" spans="1:23" ht="12" customHeight="1">
      <c r="A70" s="853" t="s">
        <v>849</v>
      </c>
      <c r="B70" s="844"/>
      <c r="C70" s="845">
        <v>315</v>
      </c>
      <c r="D70" s="846">
        <v>50</v>
      </c>
      <c r="E70" s="846"/>
      <c r="F70" s="846">
        <v>50</v>
      </c>
      <c r="G70" s="823" t="s">
        <v>764</v>
      </c>
      <c r="H70" s="1676">
        <v>41737</v>
      </c>
      <c r="I70" s="847">
        <v>42468.2</v>
      </c>
      <c r="J70" s="847">
        <v>69190</v>
      </c>
      <c r="K70" s="1674">
        <v>108415</v>
      </c>
      <c r="L70" s="837">
        <v>67909</v>
      </c>
      <c r="M70" s="865">
        <v>44191</v>
      </c>
      <c r="N70" s="831"/>
      <c r="O70" s="791"/>
      <c r="P70" s="722" t="s">
        <v>182</v>
      </c>
      <c r="Q70" s="855"/>
      <c r="R70" s="538">
        <v>20</v>
      </c>
      <c r="S70" s="682">
        <v>50</v>
      </c>
      <c r="T70" s="538">
        <v>7.5</v>
      </c>
      <c r="U70" s="538">
        <v>3000</v>
      </c>
      <c r="V70" s="857"/>
      <c r="W70" s="1681">
        <v>78891</v>
      </c>
    </row>
    <row r="71" spans="1:23" ht="12" customHeight="1">
      <c r="A71" s="853" t="s">
        <v>523</v>
      </c>
      <c r="B71" s="844"/>
      <c r="C71" s="845">
        <v>300</v>
      </c>
      <c r="D71" s="846">
        <v>42</v>
      </c>
      <c r="E71" s="846"/>
      <c r="F71" s="846">
        <v>42</v>
      </c>
      <c r="G71" s="823" t="s">
        <v>763</v>
      </c>
      <c r="H71" s="1676">
        <v>41737</v>
      </c>
      <c r="I71" s="847">
        <v>42468.2</v>
      </c>
      <c r="J71" s="847">
        <v>52747</v>
      </c>
      <c r="K71" s="1674">
        <v>91059</v>
      </c>
      <c r="L71" s="837">
        <v>51770</v>
      </c>
      <c r="M71" s="865">
        <v>44191</v>
      </c>
      <c r="N71" s="831"/>
      <c r="O71" s="791"/>
      <c r="P71" s="722" t="s">
        <v>183</v>
      </c>
      <c r="Q71" s="855"/>
      <c r="R71" s="538">
        <v>20</v>
      </c>
      <c r="S71" s="682">
        <v>110</v>
      </c>
      <c r="T71" s="538">
        <v>15</v>
      </c>
      <c r="U71" s="538">
        <v>3000</v>
      </c>
      <c r="V71" s="857"/>
      <c r="W71" s="1681">
        <v>108258</v>
      </c>
    </row>
    <row r="72" spans="1:23" ht="12" customHeight="1">
      <c r="A72" s="853" t="s">
        <v>524</v>
      </c>
      <c r="B72" s="844"/>
      <c r="C72" s="845">
        <v>280</v>
      </c>
      <c r="D72" s="846">
        <v>36</v>
      </c>
      <c r="E72" s="846"/>
      <c r="F72" s="846">
        <v>36</v>
      </c>
      <c r="G72" s="823" t="s">
        <v>762</v>
      </c>
      <c r="H72" s="1676">
        <v>41737</v>
      </c>
      <c r="I72" s="847">
        <v>42468.2</v>
      </c>
      <c r="J72" s="847">
        <v>45623</v>
      </c>
      <c r="K72" s="1674">
        <v>85187</v>
      </c>
      <c r="L72" s="837">
        <v>44780</v>
      </c>
      <c r="M72" s="865">
        <v>44191</v>
      </c>
      <c r="N72" s="831"/>
      <c r="O72" s="791"/>
      <c r="P72" s="722" t="s">
        <v>512</v>
      </c>
      <c r="Q72" s="855"/>
      <c r="R72" s="538">
        <v>50</v>
      </c>
      <c r="S72" s="682">
        <v>55</v>
      </c>
      <c r="T72" s="538">
        <v>15</v>
      </c>
      <c r="U72" s="538">
        <v>3000</v>
      </c>
      <c r="V72" s="857"/>
      <c r="W72" s="1681">
        <v>159922</v>
      </c>
    </row>
    <row r="73" spans="1:23" ht="12" customHeight="1" thickBot="1">
      <c r="A73" s="853" t="s">
        <v>525</v>
      </c>
      <c r="B73" s="844"/>
      <c r="C73" s="845">
        <v>320</v>
      </c>
      <c r="D73" s="846">
        <v>50</v>
      </c>
      <c r="E73" s="846"/>
      <c r="F73" s="846">
        <v>50</v>
      </c>
      <c r="G73" s="823" t="s">
        <v>716</v>
      </c>
      <c r="H73" s="1676">
        <v>63664</v>
      </c>
      <c r="I73" s="847">
        <v>62634</v>
      </c>
      <c r="J73" s="847">
        <v>69723</v>
      </c>
      <c r="K73" s="1674">
        <v>134126</v>
      </c>
      <c r="L73" s="837">
        <v>68463</v>
      </c>
      <c r="M73" s="865">
        <v>65171</v>
      </c>
      <c r="N73" s="831"/>
      <c r="O73" s="791"/>
      <c r="P73" s="768" t="s">
        <v>513</v>
      </c>
      <c r="Q73" s="860"/>
      <c r="R73" s="550">
        <v>50</v>
      </c>
      <c r="S73" s="740">
        <v>110</v>
      </c>
      <c r="T73" s="550">
        <v>30</v>
      </c>
      <c r="U73" s="550">
        <v>3000</v>
      </c>
      <c r="V73" s="862"/>
      <c r="W73" s="1682">
        <v>196808</v>
      </c>
    </row>
    <row r="74" spans="1:23" ht="12" customHeight="1" thickBot="1">
      <c r="A74" s="853" t="s">
        <v>526</v>
      </c>
      <c r="B74" s="844"/>
      <c r="C74" s="845">
        <v>300</v>
      </c>
      <c r="D74" s="846">
        <v>42</v>
      </c>
      <c r="E74" s="846"/>
      <c r="F74" s="846">
        <v>42</v>
      </c>
      <c r="G74" s="823" t="s">
        <v>791</v>
      </c>
      <c r="H74" s="1676">
        <v>63664</v>
      </c>
      <c r="I74" s="847">
        <v>62634</v>
      </c>
      <c r="J74" s="847">
        <v>52747</v>
      </c>
      <c r="K74" s="1674">
        <v>119324</v>
      </c>
      <c r="L74" s="837">
        <v>51770</v>
      </c>
      <c r="M74" s="865">
        <v>65171</v>
      </c>
      <c r="N74" s="831"/>
      <c r="O74" s="791"/>
      <c r="P74" s="2224" t="s">
        <v>247</v>
      </c>
      <c r="Q74" s="2224"/>
      <c r="R74" s="2224"/>
      <c r="S74" s="2224"/>
      <c r="T74" s="2224"/>
      <c r="U74" s="2224"/>
      <c r="V74" s="2224"/>
      <c r="W74" s="2224"/>
    </row>
    <row r="75" spans="1:23" ht="12" customHeight="1">
      <c r="A75" s="853" t="s">
        <v>850</v>
      </c>
      <c r="B75" s="844"/>
      <c r="C75" s="845">
        <v>315</v>
      </c>
      <c r="D75" s="846">
        <v>71</v>
      </c>
      <c r="E75" s="846"/>
      <c r="F75" s="846">
        <v>71</v>
      </c>
      <c r="G75" s="823" t="s">
        <v>765</v>
      </c>
      <c r="H75" s="1676">
        <v>42223</v>
      </c>
      <c r="I75" s="847">
        <v>43188</v>
      </c>
      <c r="J75" s="847">
        <v>91190</v>
      </c>
      <c r="K75" s="1674">
        <v>127904</v>
      </c>
      <c r="L75" s="837">
        <v>89501</v>
      </c>
      <c r="M75" s="865">
        <v>44934</v>
      </c>
      <c r="N75" s="831"/>
      <c r="O75" s="791"/>
      <c r="P75" s="867" t="s">
        <v>514</v>
      </c>
      <c r="Q75" s="868"/>
      <c r="R75" s="869" t="s">
        <v>1778</v>
      </c>
      <c r="S75" s="814"/>
      <c r="T75" s="777">
        <v>2.2</v>
      </c>
      <c r="U75" s="777">
        <v>1500</v>
      </c>
      <c r="V75" s="799"/>
      <c r="W75" s="870">
        <v>15657</v>
      </c>
    </row>
    <row r="76" spans="1:23" ht="12" customHeight="1">
      <c r="A76" s="853" t="s">
        <v>527</v>
      </c>
      <c r="B76" s="844"/>
      <c r="C76" s="845">
        <v>300</v>
      </c>
      <c r="D76" s="846">
        <v>63</v>
      </c>
      <c r="E76" s="846"/>
      <c r="F76" s="846">
        <v>63</v>
      </c>
      <c r="G76" s="823" t="s">
        <v>794</v>
      </c>
      <c r="H76" s="1676">
        <v>42223</v>
      </c>
      <c r="I76" s="847">
        <v>43188</v>
      </c>
      <c r="J76" s="847">
        <v>76675</v>
      </c>
      <c r="K76" s="1674">
        <v>114086</v>
      </c>
      <c r="L76" s="837">
        <v>75255</v>
      </c>
      <c r="M76" s="865">
        <v>44934</v>
      </c>
      <c r="N76" s="831"/>
      <c r="O76" s="791"/>
      <c r="P76" s="871" t="s">
        <v>515</v>
      </c>
      <c r="Q76" s="872"/>
      <c r="R76" s="873" t="s">
        <v>1779</v>
      </c>
      <c r="S76" s="821"/>
      <c r="T76" s="788">
        <v>5.5</v>
      </c>
      <c r="U76" s="788">
        <v>1500</v>
      </c>
      <c r="V76" s="874"/>
      <c r="W76" s="875">
        <v>29920</v>
      </c>
    </row>
    <row r="77" spans="1:23" ht="12" customHeight="1">
      <c r="A77" s="853" t="s">
        <v>528</v>
      </c>
      <c r="B77" s="844"/>
      <c r="C77" s="845">
        <v>500</v>
      </c>
      <c r="D77" s="846">
        <v>63</v>
      </c>
      <c r="E77" s="846"/>
      <c r="F77" s="846">
        <v>63</v>
      </c>
      <c r="G77" s="823" t="s">
        <v>720</v>
      </c>
      <c r="H77" s="1676">
        <v>95080</v>
      </c>
      <c r="I77" s="847">
        <v>91934</v>
      </c>
      <c r="J77" s="847">
        <v>144007</v>
      </c>
      <c r="K77" s="1674">
        <v>244898</v>
      </c>
      <c r="L77" s="837">
        <v>141340</v>
      </c>
      <c r="M77" s="865">
        <v>95651</v>
      </c>
      <c r="N77" s="831"/>
      <c r="O77" s="791"/>
      <c r="P77" s="871" t="s">
        <v>516</v>
      </c>
      <c r="Q77" s="872"/>
      <c r="R77" s="873" t="s">
        <v>1780</v>
      </c>
      <c r="S77" s="821"/>
      <c r="T77" s="788">
        <v>7.5</v>
      </c>
      <c r="U77" s="788">
        <v>1500</v>
      </c>
      <c r="V77" s="874"/>
      <c r="W77" s="875">
        <v>46649</v>
      </c>
    </row>
    <row r="78" spans="1:23" ht="12" customHeight="1">
      <c r="A78" s="853" t="s">
        <v>529</v>
      </c>
      <c r="B78" s="844"/>
      <c r="C78" s="845">
        <v>450</v>
      </c>
      <c r="D78" s="788">
        <v>53</v>
      </c>
      <c r="E78" s="788"/>
      <c r="F78" s="788">
        <v>53</v>
      </c>
      <c r="G78" s="823" t="s">
        <v>718</v>
      </c>
      <c r="H78" s="1676">
        <v>95080</v>
      </c>
      <c r="I78" s="847">
        <v>91934</v>
      </c>
      <c r="J78" s="847">
        <v>115474</v>
      </c>
      <c r="K78" s="1674">
        <v>199270</v>
      </c>
      <c r="L78" s="837">
        <v>113335</v>
      </c>
      <c r="M78" s="865">
        <v>95651</v>
      </c>
      <c r="N78" s="831"/>
      <c r="O78" s="791"/>
      <c r="P78" s="871" t="s">
        <v>517</v>
      </c>
      <c r="Q78" s="872"/>
      <c r="R78" s="873" t="s">
        <v>1781</v>
      </c>
      <c r="S78" s="876"/>
      <c r="T78" s="788">
        <v>15</v>
      </c>
      <c r="U78" s="788">
        <v>1500</v>
      </c>
      <c r="V78" s="874"/>
      <c r="W78" s="875">
        <v>59528</v>
      </c>
    </row>
    <row r="79" spans="1:23" ht="12" customHeight="1">
      <c r="A79" s="853" t="s">
        <v>530</v>
      </c>
      <c r="B79" s="844"/>
      <c r="C79" s="845">
        <v>400</v>
      </c>
      <c r="D79" s="846">
        <v>44</v>
      </c>
      <c r="E79" s="846"/>
      <c r="F79" s="846">
        <v>44</v>
      </c>
      <c r="G79" s="823" t="s">
        <v>717</v>
      </c>
      <c r="H79" s="1676">
        <v>95080</v>
      </c>
      <c r="I79" s="847">
        <v>91934</v>
      </c>
      <c r="J79" s="847">
        <v>97232</v>
      </c>
      <c r="K79" s="1674">
        <v>193170</v>
      </c>
      <c r="L79" s="837">
        <v>95432</v>
      </c>
      <c r="M79" s="865">
        <v>95651</v>
      </c>
      <c r="N79" s="831"/>
      <c r="O79" s="791"/>
      <c r="P79" s="871" t="s">
        <v>518</v>
      </c>
      <c r="Q79" s="872"/>
      <c r="R79" s="873" t="s">
        <v>1782</v>
      </c>
      <c r="S79" s="876"/>
      <c r="T79" s="788">
        <v>30</v>
      </c>
      <c r="U79" s="788">
        <v>1000</v>
      </c>
      <c r="V79" s="874"/>
      <c r="W79" s="875">
        <v>116320</v>
      </c>
    </row>
    <row r="80" spans="1:23" ht="12" customHeight="1">
      <c r="A80" s="853" t="s">
        <v>852</v>
      </c>
      <c r="B80" s="844"/>
      <c r="C80" s="845">
        <v>630</v>
      </c>
      <c r="D80" s="846">
        <v>90</v>
      </c>
      <c r="E80" s="846"/>
      <c r="F80" s="846">
        <v>90</v>
      </c>
      <c r="G80" s="823" t="s">
        <v>721</v>
      </c>
      <c r="H80" s="1676">
        <v>112457</v>
      </c>
      <c r="I80" s="847">
        <v>109410</v>
      </c>
      <c r="J80" s="847">
        <v>276705</v>
      </c>
      <c r="K80" s="1674">
        <v>369123</v>
      </c>
      <c r="L80" s="837">
        <v>271580</v>
      </c>
      <c r="M80" s="865">
        <v>113823</v>
      </c>
      <c r="N80" s="831"/>
      <c r="O80" s="791"/>
      <c r="P80" s="871" t="s">
        <v>2050</v>
      </c>
      <c r="Q80" s="872"/>
      <c r="R80" s="873" t="s">
        <v>1783</v>
      </c>
      <c r="S80" s="876"/>
      <c r="T80" s="788">
        <v>55</v>
      </c>
      <c r="U80" s="788">
        <v>750</v>
      </c>
      <c r="V80" s="874"/>
      <c r="W80" s="551" t="s">
        <v>337</v>
      </c>
    </row>
    <row r="81" spans="1:23" ht="12" customHeight="1" thickBot="1">
      <c r="A81" s="853" t="s">
        <v>531</v>
      </c>
      <c r="B81" s="844"/>
      <c r="C81" s="845">
        <v>550</v>
      </c>
      <c r="D81" s="846">
        <v>74</v>
      </c>
      <c r="E81" s="846"/>
      <c r="F81" s="846">
        <v>74</v>
      </c>
      <c r="G81" s="823" t="s">
        <v>731</v>
      </c>
      <c r="H81" s="1676">
        <v>112457</v>
      </c>
      <c r="I81" s="847">
        <v>109410</v>
      </c>
      <c r="J81" s="847">
        <v>150336</v>
      </c>
      <c r="K81" s="1674">
        <v>282981</v>
      </c>
      <c r="L81" s="837">
        <v>147552</v>
      </c>
      <c r="M81" s="865">
        <v>113821</v>
      </c>
      <c r="N81" s="831"/>
      <c r="O81" s="791"/>
      <c r="P81" s="877" t="s">
        <v>519</v>
      </c>
      <c r="Q81" s="878"/>
      <c r="R81" s="879" t="s">
        <v>1784</v>
      </c>
      <c r="S81" s="880"/>
      <c r="T81" s="804">
        <v>110</v>
      </c>
      <c r="U81" s="804">
        <v>600</v>
      </c>
      <c r="V81" s="881"/>
      <c r="W81" s="552" t="s">
        <v>337</v>
      </c>
    </row>
    <row r="82" spans="1:23" ht="12" customHeight="1" thickBot="1">
      <c r="A82" s="853" t="s">
        <v>853</v>
      </c>
      <c r="B82" s="844"/>
      <c r="C82" s="845">
        <v>630</v>
      </c>
      <c r="D82" s="846">
        <v>125</v>
      </c>
      <c r="E82" s="846"/>
      <c r="F82" s="846">
        <v>125</v>
      </c>
      <c r="G82" s="882" t="s">
        <v>1612</v>
      </c>
      <c r="H82" s="1673"/>
      <c r="I82" s="847"/>
      <c r="J82" s="847"/>
      <c r="K82" s="1680" t="s">
        <v>248</v>
      </c>
      <c r="L82" s="837"/>
      <c r="M82" s="838"/>
      <c r="N82" s="831"/>
      <c r="O82" s="654"/>
      <c r="P82" s="883" t="s">
        <v>252</v>
      </c>
      <c r="Q82" s="884"/>
      <c r="R82" s="885" t="s">
        <v>253</v>
      </c>
      <c r="S82" s="886"/>
      <c r="T82" s="887">
        <v>0.55</v>
      </c>
      <c r="U82" s="887"/>
      <c r="V82" s="888"/>
      <c r="W82" s="889">
        <v>31860</v>
      </c>
    </row>
    <row r="83" spans="1:23" ht="12" customHeight="1">
      <c r="A83" s="853" t="s">
        <v>532</v>
      </c>
      <c r="B83" s="844"/>
      <c r="C83" s="845">
        <v>550</v>
      </c>
      <c r="D83" s="846">
        <v>101</v>
      </c>
      <c r="E83" s="846"/>
      <c r="F83" s="846">
        <v>101</v>
      </c>
      <c r="G83" s="823" t="s">
        <v>725</v>
      </c>
      <c r="H83" s="1673"/>
      <c r="I83" s="847"/>
      <c r="J83" s="847"/>
      <c r="K83" s="1680" t="s">
        <v>248</v>
      </c>
      <c r="L83" s="837"/>
      <c r="M83" s="838"/>
      <c r="N83" s="831"/>
      <c r="O83" s="654"/>
      <c r="P83" s="867" t="s">
        <v>254</v>
      </c>
      <c r="Q83" s="868"/>
      <c r="R83" s="890" t="s">
        <v>567</v>
      </c>
      <c r="S83" s="891"/>
      <c r="T83" s="777">
        <v>2.2</v>
      </c>
      <c r="U83" s="777">
        <v>1500</v>
      </c>
      <c r="V83" s="892"/>
      <c r="W83" s="893">
        <v>104500</v>
      </c>
    </row>
    <row r="84" spans="1:23" ht="12" customHeight="1">
      <c r="A84" s="853" t="s">
        <v>703</v>
      </c>
      <c r="B84" s="844"/>
      <c r="C84" s="845">
        <v>500</v>
      </c>
      <c r="D84" s="846">
        <v>82</v>
      </c>
      <c r="E84" s="846"/>
      <c r="F84" s="846">
        <v>82</v>
      </c>
      <c r="G84" s="823" t="s">
        <v>721</v>
      </c>
      <c r="H84" s="1673"/>
      <c r="I84" s="847"/>
      <c r="J84" s="847"/>
      <c r="K84" s="1680" t="s">
        <v>248</v>
      </c>
      <c r="L84" s="837"/>
      <c r="M84" s="838"/>
      <c r="N84" s="831"/>
      <c r="O84" s="654"/>
      <c r="P84" s="871" t="s">
        <v>255</v>
      </c>
      <c r="Q84" s="872"/>
      <c r="R84" s="894" t="s">
        <v>568</v>
      </c>
      <c r="S84" s="876"/>
      <c r="T84" s="788">
        <v>7.5</v>
      </c>
      <c r="U84" s="788">
        <v>1500</v>
      </c>
      <c r="V84" s="895"/>
      <c r="W84" s="896">
        <v>252720</v>
      </c>
    </row>
    <row r="85" spans="1:23" ht="12" customHeight="1">
      <c r="A85" s="853" t="s">
        <v>854</v>
      </c>
      <c r="B85" s="844"/>
      <c r="C85" s="845">
        <v>800</v>
      </c>
      <c r="D85" s="846">
        <v>56</v>
      </c>
      <c r="E85" s="846"/>
      <c r="F85" s="846">
        <v>56</v>
      </c>
      <c r="G85" s="823" t="s">
        <v>731</v>
      </c>
      <c r="H85" s="1676">
        <v>121127</v>
      </c>
      <c r="I85" s="847">
        <v>111770</v>
      </c>
      <c r="J85" s="847">
        <v>150336</v>
      </c>
      <c r="K85" s="1674">
        <v>285766</v>
      </c>
      <c r="L85" s="837">
        <v>147552</v>
      </c>
      <c r="M85" s="838">
        <v>116289</v>
      </c>
      <c r="N85" s="831"/>
      <c r="O85" s="654"/>
      <c r="P85" s="871" t="s">
        <v>256</v>
      </c>
      <c r="Q85" s="872"/>
      <c r="R85" s="894" t="s">
        <v>569</v>
      </c>
      <c r="S85" s="876"/>
      <c r="T85" s="788">
        <v>11</v>
      </c>
      <c r="U85" s="788">
        <v>1500</v>
      </c>
      <c r="V85" s="895"/>
      <c r="W85" s="896">
        <v>248508</v>
      </c>
    </row>
    <row r="86" spans="1:23" ht="12" customHeight="1">
      <c r="A86" s="853" t="s">
        <v>704</v>
      </c>
      <c r="B86" s="844"/>
      <c r="C86" s="845">
        <v>740</v>
      </c>
      <c r="D86" s="846">
        <v>48</v>
      </c>
      <c r="E86" s="846"/>
      <c r="F86" s="846">
        <v>48</v>
      </c>
      <c r="G86" s="823" t="s">
        <v>718</v>
      </c>
      <c r="H86" s="1676">
        <v>121127</v>
      </c>
      <c r="I86" s="847">
        <v>111770</v>
      </c>
      <c r="J86" s="847">
        <v>115474</v>
      </c>
      <c r="K86" s="1674">
        <v>222492</v>
      </c>
      <c r="L86" s="837">
        <v>111335</v>
      </c>
      <c r="M86" s="838">
        <v>116289</v>
      </c>
      <c r="N86" s="831"/>
      <c r="O86" s="654"/>
      <c r="P86" s="871" t="s">
        <v>257</v>
      </c>
      <c r="Q86" s="872"/>
      <c r="R86" s="894" t="s">
        <v>570</v>
      </c>
      <c r="S86" s="876"/>
      <c r="T86" s="788">
        <v>15</v>
      </c>
      <c r="U86" s="788">
        <v>1500</v>
      </c>
      <c r="V86" s="895"/>
      <c r="W86" s="896">
        <v>371382</v>
      </c>
    </row>
    <row r="87" spans="1:23" ht="12" customHeight="1" thickBot="1">
      <c r="A87" s="853" t="s">
        <v>855</v>
      </c>
      <c r="B87" s="844"/>
      <c r="C87" s="845">
        <v>1250</v>
      </c>
      <c r="D87" s="846">
        <v>63</v>
      </c>
      <c r="E87" s="846"/>
      <c r="F87" s="846">
        <v>63</v>
      </c>
      <c r="G87" s="823" t="s">
        <v>725</v>
      </c>
      <c r="H87" s="1676">
        <v>121929</v>
      </c>
      <c r="I87" s="847">
        <v>121257</v>
      </c>
      <c r="J87" s="847">
        <v>293452</v>
      </c>
      <c r="K87" s="1674">
        <v>417757</v>
      </c>
      <c r="L87" s="837">
        <v>267639</v>
      </c>
      <c r="M87" s="838">
        <v>126154</v>
      </c>
      <c r="N87" s="831"/>
      <c r="O87" s="654"/>
      <c r="P87" s="877" t="s">
        <v>259</v>
      </c>
      <c r="Q87" s="878"/>
      <c r="R87" s="897" t="s">
        <v>571</v>
      </c>
      <c r="S87" s="880"/>
      <c r="T87" s="804">
        <v>15</v>
      </c>
      <c r="U87" s="804">
        <v>1500</v>
      </c>
      <c r="V87" s="898"/>
      <c r="W87" s="899">
        <v>363400</v>
      </c>
    </row>
    <row r="88" spans="1:23" ht="12" customHeight="1">
      <c r="A88" s="853" t="s">
        <v>705</v>
      </c>
      <c r="B88" s="844"/>
      <c r="C88" s="845">
        <v>1100</v>
      </c>
      <c r="D88" s="846">
        <v>52</v>
      </c>
      <c r="E88" s="846"/>
      <c r="F88" s="846">
        <v>52</v>
      </c>
      <c r="G88" s="823" t="s">
        <v>721</v>
      </c>
      <c r="H88" s="1676">
        <v>121929</v>
      </c>
      <c r="I88" s="847">
        <v>121257</v>
      </c>
      <c r="J88" s="847">
        <v>276705</v>
      </c>
      <c r="K88" s="1674">
        <v>381256</v>
      </c>
      <c r="L88" s="837">
        <v>252365</v>
      </c>
      <c r="M88" s="865">
        <v>126154</v>
      </c>
      <c r="N88" s="831"/>
      <c r="O88" s="654"/>
      <c r="P88" s="2238" t="s">
        <v>907</v>
      </c>
      <c r="Q88" s="2239"/>
      <c r="R88" s="2239"/>
      <c r="S88" s="2239"/>
      <c r="T88" s="2239"/>
      <c r="U88" s="2239"/>
      <c r="V88" s="2239"/>
      <c r="W88" s="2221"/>
    </row>
    <row r="89" spans="1:23" ht="12" customHeight="1" thickBot="1">
      <c r="A89" s="853" t="s">
        <v>856</v>
      </c>
      <c r="B89" s="844"/>
      <c r="C89" s="845">
        <v>1250</v>
      </c>
      <c r="D89" s="900">
        <v>125</v>
      </c>
      <c r="E89" s="900"/>
      <c r="F89" s="900">
        <v>125</v>
      </c>
      <c r="G89" s="882" t="s">
        <v>1613</v>
      </c>
      <c r="H89" s="1676">
        <v>218189</v>
      </c>
      <c r="I89" s="847">
        <v>197072</v>
      </c>
      <c r="J89" s="847"/>
      <c r="K89" s="1680">
        <v>990571</v>
      </c>
      <c r="L89" s="837"/>
      <c r="M89" s="838"/>
      <c r="N89" s="831"/>
      <c r="O89" s="654"/>
      <c r="P89" s="2240"/>
      <c r="Q89" s="2241"/>
      <c r="R89" s="2241"/>
      <c r="S89" s="2241"/>
      <c r="T89" s="2241"/>
      <c r="U89" s="2241"/>
      <c r="V89" s="2241"/>
      <c r="W89" s="2222"/>
    </row>
    <row r="90" spans="1:23" ht="12" customHeight="1" thickBot="1">
      <c r="A90" s="853" t="s">
        <v>706</v>
      </c>
      <c r="B90" s="844"/>
      <c r="C90" s="845">
        <v>1150</v>
      </c>
      <c r="D90" s="900">
        <v>102</v>
      </c>
      <c r="E90" s="900"/>
      <c r="F90" s="900">
        <v>102</v>
      </c>
      <c r="G90" s="882" t="s">
        <v>1614</v>
      </c>
      <c r="H90" s="1676">
        <v>218189</v>
      </c>
      <c r="I90" s="847">
        <v>197072</v>
      </c>
      <c r="J90" s="847"/>
      <c r="K90" s="1680">
        <v>918458</v>
      </c>
      <c r="L90" s="837"/>
      <c r="M90" s="838"/>
      <c r="N90" s="831"/>
      <c r="O90" s="654"/>
      <c r="P90" s="901" t="s">
        <v>1577</v>
      </c>
      <c r="Q90" s="902"/>
      <c r="R90" s="902"/>
      <c r="S90" s="902"/>
      <c r="T90" s="903">
        <v>0.75</v>
      </c>
      <c r="U90" s="904">
        <v>3000</v>
      </c>
      <c r="V90" s="905"/>
      <c r="W90" s="1683">
        <v>18010</v>
      </c>
    </row>
    <row r="91" spans="1:23" ht="12" customHeight="1">
      <c r="A91" s="853" t="s">
        <v>707</v>
      </c>
      <c r="B91" s="844"/>
      <c r="C91" s="845">
        <v>1030</v>
      </c>
      <c r="D91" s="900">
        <v>87</v>
      </c>
      <c r="E91" s="900"/>
      <c r="F91" s="900">
        <v>87</v>
      </c>
      <c r="G91" s="882" t="s">
        <v>726</v>
      </c>
      <c r="H91" s="1676">
        <v>218189</v>
      </c>
      <c r="I91" s="847">
        <v>197072</v>
      </c>
      <c r="J91" s="847"/>
      <c r="K91" s="1680">
        <v>958452</v>
      </c>
      <c r="L91" s="837"/>
      <c r="M91" s="838"/>
      <c r="N91" s="831"/>
      <c r="O91" s="654"/>
      <c r="P91" s="906" t="s">
        <v>278</v>
      </c>
      <c r="Q91" s="907"/>
      <c r="R91" s="908">
        <v>3.5</v>
      </c>
      <c r="S91" s="909">
        <v>20</v>
      </c>
      <c r="T91" s="908">
        <v>0.75</v>
      </c>
      <c r="U91" s="910"/>
      <c r="V91" s="850"/>
      <c r="W91" s="893">
        <f>17084*1.07</f>
        <v>18279.88</v>
      </c>
    </row>
    <row r="92" spans="1:23" ht="12" customHeight="1">
      <c r="A92" s="853" t="s">
        <v>708</v>
      </c>
      <c r="B92" s="844"/>
      <c r="C92" s="845">
        <v>1600</v>
      </c>
      <c r="D92" s="900">
        <v>90</v>
      </c>
      <c r="E92" s="900"/>
      <c r="F92" s="900">
        <v>90</v>
      </c>
      <c r="G92" s="882" t="s">
        <v>1613</v>
      </c>
      <c r="H92" s="1673"/>
      <c r="I92" s="847"/>
      <c r="J92" s="847"/>
      <c r="K92" s="1680">
        <v>1076431</v>
      </c>
      <c r="L92" s="837"/>
      <c r="M92" s="838"/>
      <c r="N92" s="831"/>
      <c r="O92" s="654"/>
      <c r="P92" s="680" t="s">
        <v>281</v>
      </c>
      <c r="Q92" s="681"/>
      <c r="R92" s="911">
        <v>6.3</v>
      </c>
      <c r="S92" s="912">
        <v>20</v>
      </c>
      <c r="T92" s="911">
        <v>1.5</v>
      </c>
      <c r="U92" s="752"/>
      <c r="V92" s="857"/>
      <c r="W92" s="913">
        <v>38422</v>
      </c>
    </row>
    <row r="93" spans="1:23" ht="12" customHeight="1" thickBot="1">
      <c r="A93" s="853" t="s">
        <v>710</v>
      </c>
      <c r="B93" s="844"/>
      <c r="C93" s="845">
        <v>1450</v>
      </c>
      <c r="D93" s="900">
        <v>75</v>
      </c>
      <c r="E93" s="900"/>
      <c r="F93" s="900">
        <v>75</v>
      </c>
      <c r="G93" s="882" t="s">
        <v>1614</v>
      </c>
      <c r="H93" s="1673"/>
      <c r="I93" s="847"/>
      <c r="J93" s="847"/>
      <c r="K93" s="1680">
        <v>1004581</v>
      </c>
      <c r="L93" s="837"/>
      <c r="M93" s="838"/>
      <c r="N93" s="831"/>
      <c r="O93" s="654"/>
      <c r="P93" s="738" t="s">
        <v>283</v>
      </c>
      <c r="Q93" s="914"/>
      <c r="R93" s="915">
        <v>12.5</v>
      </c>
      <c r="S93" s="916">
        <v>20</v>
      </c>
      <c r="T93" s="915">
        <v>1.5</v>
      </c>
      <c r="U93" s="769"/>
      <c r="V93" s="862"/>
      <c r="W93" s="899">
        <f>29463*1.07</f>
        <v>31525.410000000003</v>
      </c>
    </row>
    <row r="94" spans="1:23" ht="12" customHeight="1">
      <c r="A94" s="853" t="s">
        <v>711</v>
      </c>
      <c r="B94" s="844"/>
      <c r="C94" s="845">
        <v>2000</v>
      </c>
      <c r="D94" s="900">
        <v>21</v>
      </c>
      <c r="E94" s="900"/>
      <c r="F94" s="900">
        <v>21</v>
      </c>
      <c r="G94" s="882" t="s">
        <v>720</v>
      </c>
      <c r="H94" s="1676">
        <v>366661</v>
      </c>
      <c r="I94" s="847">
        <v>324146</v>
      </c>
      <c r="J94" s="847"/>
      <c r="K94" s="1680">
        <v>516899</v>
      </c>
      <c r="L94" s="837">
        <v>152744</v>
      </c>
      <c r="M94" s="838">
        <v>337221</v>
      </c>
      <c r="N94" s="831"/>
      <c r="O94" s="654"/>
      <c r="P94" s="917" t="s">
        <v>941</v>
      </c>
      <c r="Q94" s="918"/>
      <c r="R94" s="919">
        <v>10</v>
      </c>
      <c r="S94" s="920"/>
      <c r="T94" s="919"/>
      <c r="U94" s="921"/>
      <c r="V94" s="922"/>
      <c r="W94" s="923">
        <v>104235</v>
      </c>
    </row>
    <row r="95" spans="1:23" ht="12" customHeight="1">
      <c r="A95" s="853" t="s">
        <v>463</v>
      </c>
      <c r="B95" s="844"/>
      <c r="C95" s="845">
        <v>2000</v>
      </c>
      <c r="D95" s="900">
        <v>100</v>
      </c>
      <c r="E95" s="900"/>
      <c r="F95" s="900">
        <v>100</v>
      </c>
      <c r="G95" s="882" t="s">
        <v>460</v>
      </c>
      <c r="H95" s="1673" t="s">
        <v>2008</v>
      </c>
      <c r="I95" s="924"/>
      <c r="J95" s="924"/>
      <c r="K95" s="1680" t="s">
        <v>248</v>
      </c>
      <c r="L95" s="837"/>
      <c r="M95" s="838"/>
      <c r="N95" s="831"/>
      <c r="O95" s="654"/>
      <c r="P95" s="786" t="s">
        <v>946</v>
      </c>
      <c r="Q95" s="925"/>
      <c r="R95" s="926" t="s">
        <v>944</v>
      </c>
      <c r="S95" s="927"/>
      <c r="T95" s="928"/>
      <c r="U95" s="929"/>
      <c r="V95" s="930"/>
      <c r="W95" s="931">
        <v>65649</v>
      </c>
    </row>
    <row r="96" spans="1:23" ht="12" customHeight="1" thickBot="1">
      <c r="A96" s="932" t="s">
        <v>712</v>
      </c>
      <c r="B96" s="844"/>
      <c r="C96" s="933">
        <v>2500</v>
      </c>
      <c r="D96" s="934">
        <v>62</v>
      </c>
      <c r="E96" s="934"/>
      <c r="F96" s="934">
        <v>62</v>
      </c>
      <c r="G96" s="935" t="s">
        <v>1613</v>
      </c>
      <c r="H96" s="1684" t="s">
        <v>2008</v>
      </c>
      <c r="I96" s="936"/>
      <c r="J96" s="936"/>
      <c r="K96" s="1685" t="s">
        <v>248</v>
      </c>
      <c r="L96" s="837"/>
      <c r="M96" s="838"/>
      <c r="N96" s="938"/>
      <c r="O96" s="654"/>
      <c r="P96" s="786" t="s">
        <v>1510</v>
      </c>
      <c r="Q96" s="925"/>
      <c r="R96" s="926" t="s">
        <v>945</v>
      </c>
      <c r="S96" s="927"/>
      <c r="T96" s="928"/>
      <c r="U96" s="929"/>
      <c r="V96" s="930"/>
      <c r="W96" s="913">
        <v>65083</v>
      </c>
    </row>
    <row r="97" spans="1:23" ht="12" customHeight="1">
      <c r="A97" s="2236" t="s">
        <v>2066</v>
      </c>
      <c r="B97" s="2236"/>
      <c r="C97" s="2236"/>
      <c r="D97" s="2236"/>
      <c r="E97" s="2236"/>
      <c r="F97" s="2236"/>
      <c r="G97" s="2236"/>
      <c r="H97" s="2236"/>
      <c r="I97" s="2236"/>
      <c r="J97" s="2236"/>
      <c r="K97" s="2237"/>
      <c r="L97" s="638"/>
      <c r="M97" s="638"/>
      <c r="N97" s="938"/>
      <c r="O97" s="654"/>
      <c r="P97" s="871" t="s">
        <v>942</v>
      </c>
      <c r="Q97" s="939"/>
      <c r="R97" s="926" t="s">
        <v>945</v>
      </c>
      <c r="S97" s="927"/>
      <c r="T97" s="928"/>
      <c r="U97" s="929"/>
      <c r="V97" s="930"/>
      <c r="W97" s="913">
        <v>67278</v>
      </c>
    </row>
    <row r="98" spans="1:23" ht="12" customHeight="1" thickBot="1">
      <c r="A98" s="2236"/>
      <c r="B98" s="2236"/>
      <c r="C98" s="2236"/>
      <c r="D98" s="2236"/>
      <c r="E98" s="2236"/>
      <c r="F98" s="2236"/>
      <c r="G98" s="2236"/>
      <c r="H98" s="2236"/>
      <c r="I98" s="2236"/>
      <c r="J98" s="2236"/>
      <c r="K98" s="2237"/>
      <c r="L98" s="638"/>
      <c r="M98" s="638"/>
      <c r="N98" s="940"/>
      <c r="O98" s="940"/>
      <c r="P98" s="802" t="s">
        <v>943</v>
      </c>
      <c r="Q98" s="941"/>
      <c r="R98" s="942">
        <v>0.7</v>
      </c>
      <c r="S98" s="943"/>
      <c r="T98" s="944"/>
      <c r="U98" s="945"/>
      <c r="V98" s="946"/>
      <c r="W98" s="947">
        <v>70534</v>
      </c>
    </row>
    <row r="99" spans="1:23" ht="12" customHeight="1" thickBot="1">
      <c r="A99" s="746" t="s">
        <v>858</v>
      </c>
      <c r="B99" s="948"/>
      <c r="C99" s="834">
        <v>500</v>
      </c>
      <c r="D99" s="949"/>
      <c r="E99" s="835"/>
      <c r="F99" s="835">
        <v>70</v>
      </c>
      <c r="G99" s="816" t="s">
        <v>715</v>
      </c>
      <c r="H99" s="776"/>
      <c r="I99" s="776"/>
      <c r="J99" s="776"/>
      <c r="K99" s="817">
        <v>810600</v>
      </c>
      <c r="L99" s="950"/>
      <c r="M99" s="950"/>
      <c r="N99" s="951"/>
      <c r="O99" s="791"/>
      <c r="P99" s="666" t="s">
        <v>537</v>
      </c>
      <c r="Q99" s="800"/>
      <c r="R99" s="952">
        <v>38</v>
      </c>
      <c r="S99" s="953">
        <v>26</v>
      </c>
      <c r="T99" s="952">
        <v>11</v>
      </c>
      <c r="U99" s="747">
        <v>1500</v>
      </c>
      <c r="V99" s="954"/>
      <c r="W99" s="893">
        <v>70492</v>
      </c>
    </row>
    <row r="100" spans="1:23" ht="12" customHeight="1">
      <c r="A100" s="722" t="s">
        <v>859</v>
      </c>
      <c r="B100" s="955"/>
      <c r="C100" s="845">
        <v>800</v>
      </c>
      <c r="D100" s="777"/>
      <c r="E100" s="788"/>
      <c r="F100" s="846">
        <v>55</v>
      </c>
      <c r="G100" s="823" t="s">
        <v>731</v>
      </c>
      <c r="H100" s="787"/>
      <c r="I100" s="787"/>
      <c r="J100" s="787"/>
      <c r="K100" s="824">
        <v>895340</v>
      </c>
      <c r="L100" s="950"/>
      <c r="M100" s="950"/>
      <c r="N100" s="951"/>
      <c r="O100" s="791"/>
      <c r="P100" s="680" t="s">
        <v>318</v>
      </c>
      <c r="Q100" s="925"/>
      <c r="R100" s="911">
        <v>20</v>
      </c>
      <c r="S100" s="912">
        <v>12</v>
      </c>
      <c r="T100" s="911">
        <v>5.5</v>
      </c>
      <c r="U100" s="752">
        <v>1000</v>
      </c>
      <c r="V100" s="956"/>
      <c r="W100" s="896">
        <v>69745</v>
      </c>
    </row>
    <row r="101" spans="1:23" ht="12" customHeight="1">
      <c r="A101" s="722" t="s">
        <v>860</v>
      </c>
      <c r="B101" s="955"/>
      <c r="C101" s="845">
        <v>800</v>
      </c>
      <c r="D101" s="788"/>
      <c r="E101" s="957"/>
      <c r="F101" s="846">
        <v>100</v>
      </c>
      <c r="G101" s="823" t="s">
        <v>725</v>
      </c>
      <c r="H101" s="958"/>
      <c r="I101" s="958"/>
      <c r="J101" s="958"/>
      <c r="K101" s="824">
        <v>1521000</v>
      </c>
      <c r="L101" s="950"/>
      <c r="M101" s="950"/>
      <c r="N101" s="951"/>
      <c r="O101" s="791"/>
      <c r="P101" s="680" t="s">
        <v>316</v>
      </c>
      <c r="Q101" s="925"/>
      <c r="R101" s="911">
        <v>38</v>
      </c>
      <c r="S101" s="912">
        <v>26</v>
      </c>
      <c r="T101" s="959" t="s">
        <v>536</v>
      </c>
      <c r="U101" s="752"/>
      <c r="V101" s="956"/>
      <c r="W101" s="896">
        <v>51223</v>
      </c>
    </row>
    <row r="102" spans="1:23" ht="12" customHeight="1" thickBot="1">
      <c r="A102" s="768" t="s">
        <v>861</v>
      </c>
      <c r="B102" s="960"/>
      <c r="C102" s="933">
        <v>1250</v>
      </c>
      <c r="D102" s="957"/>
      <c r="E102" s="957"/>
      <c r="F102" s="961">
        <v>70</v>
      </c>
      <c r="G102" s="962" t="s">
        <v>1578</v>
      </c>
      <c r="H102" s="963"/>
      <c r="I102" s="963"/>
      <c r="J102" s="963"/>
      <c r="K102" s="964">
        <v>1680000</v>
      </c>
      <c r="L102" s="950"/>
      <c r="M102" s="950"/>
      <c r="N102" s="951"/>
      <c r="O102" s="951"/>
      <c r="P102" s="738" t="s">
        <v>538</v>
      </c>
      <c r="Q102" s="941"/>
      <c r="R102" s="915">
        <v>32</v>
      </c>
      <c r="S102" s="916">
        <v>54</v>
      </c>
      <c r="T102" s="915">
        <v>18.5</v>
      </c>
      <c r="U102" s="769">
        <v>1500</v>
      </c>
      <c r="V102" s="965"/>
      <c r="W102" s="899">
        <v>114835</v>
      </c>
    </row>
    <row r="103" spans="1:23" s="967" customFormat="1" ht="3" customHeight="1">
      <c r="A103" s="2228" t="s">
        <v>139</v>
      </c>
      <c r="B103" s="2228"/>
      <c r="C103" s="2228"/>
      <c r="D103" s="2228"/>
      <c r="E103" s="2228"/>
      <c r="F103" s="2228"/>
      <c r="G103" s="2228"/>
      <c r="H103" s="2228"/>
      <c r="I103" s="2228"/>
      <c r="J103" s="2228"/>
      <c r="K103" s="2228"/>
      <c r="L103" s="2228"/>
      <c r="M103" s="2228"/>
      <c r="N103" s="2228"/>
      <c r="O103" s="2228"/>
      <c r="P103" s="2228"/>
      <c r="Q103" s="2228"/>
      <c r="R103" s="2228"/>
      <c r="S103" s="2228"/>
      <c r="T103" s="2228"/>
      <c r="U103" s="2228"/>
      <c r="V103" s="2228"/>
      <c r="W103" s="966"/>
    </row>
    <row r="104" spans="1:23" s="967" customFormat="1" ht="10.5" customHeight="1">
      <c r="A104" s="2228"/>
      <c r="B104" s="2228"/>
      <c r="C104" s="2228"/>
      <c r="D104" s="2228"/>
      <c r="E104" s="2228"/>
      <c r="F104" s="2228"/>
      <c r="G104" s="2228"/>
      <c r="H104" s="2228"/>
      <c r="I104" s="2228"/>
      <c r="J104" s="2228"/>
      <c r="K104" s="2228"/>
      <c r="L104" s="2228"/>
      <c r="M104" s="2228"/>
      <c r="N104" s="2228"/>
      <c r="O104" s="2228"/>
      <c r="P104" s="2228"/>
      <c r="Q104" s="2228"/>
      <c r="R104" s="2228"/>
      <c r="S104" s="2228"/>
      <c r="T104" s="2228"/>
      <c r="U104" s="2228"/>
      <c r="V104" s="2228"/>
      <c r="W104" s="966" t="s">
        <v>137</v>
      </c>
    </row>
    <row r="105" spans="1:23" ht="44.25" customHeight="1">
      <c r="A105" s="2229" t="s">
        <v>690</v>
      </c>
      <c r="B105" s="2229"/>
      <c r="C105" s="2229"/>
      <c r="D105" s="2229"/>
      <c r="E105" s="2229"/>
      <c r="F105" s="2229"/>
      <c r="G105" s="2229"/>
      <c r="H105" s="2229"/>
      <c r="I105" s="2229"/>
      <c r="J105" s="2229"/>
      <c r="K105" s="2229"/>
      <c r="L105" s="2229"/>
      <c r="M105" s="2229"/>
      <c r="N105" s="2229"/>
      <c r="O105" s="2229"/>
      <c r="P105" s="2229"/>
      <c r="Q105" s="2229"/>
      <c r="R105" s="2229"/>
      <c r="S105" s="2229"/>
      <c r="T105" s="2229"/>
      <c r="U105" s="2229"/>
      <c r="V105" s="2229"/>
      <c r="W105" s="2229"/>
    </row>
    <row r="106" spans="1:18" ht="30.75" customHeight="1">
      <c r="A106" s="968" t="s">
        <v>89</v>
      </c>
      <c r="B106" s="968"/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7"/>
      <c r="Q106" s="967"/>
      <c r="R106" s="967"/>
    </row>
    <row r="107" spans="2:13" ht="9.75" customHeight="1">
      <c r="B107" s="969"/>
      <c r="C107" s="969"/>
      <c r="D107" s="969"/>
      <c r="E107" s="969"/>
      <c r="F107" s="969"/>
      <c r="G107" s="969"/>
      <c r="H107" s="969"/>
      <c r="I107" s="969"/>
      <c r="J107" s="969"/>
      <c r="K107" s="969"/>
      <c r="L107" s="969"/>
      <c r="M107" s="969"/>
    </row>
    <row r="108" spans="1:15" ht="9.75" customHeight="1">
      <c r="A108" s="967"/>
      <c r="B108" s="659"/>
      <c r="C108" s="659"/>
      <c r="D108" s="971"/>
      <c r="E108" s="659"/>
      <c r="F108" s="659"/>
      <c r="G108" s="659"/>
      <c r="H108" s="659"/>
      <c r="I108" s="659"/>
      <c r="J108" s="659"/>
      <c r="K108" s="972"/>
      <c r="L108" s="972"/>
      <c r="M108" s="972"/>
      <c r="N108" s="973"/>
      <c r="O108" s="967"/>
    </row>
    <row r="109" spans="1:15" ht="9.75" customHeight="1">
      <c r="A109" s="967"/>
      <c r="B109" s="974"/>
      <c r="C109" s="974"/>
      <c r="D109" s="971"/>
      <c r="E109" s="974"/>
      <c r="F109" s="974"/>
      <c r="G109" s="974"/>
      <c r="H109" s="974"/>
      <c r="I109" s="974"/>
      <c r="J109" s="974"/>
      <c r="K109" s="975"/>
      <c r="L109" s="975"/>
      <c r="M109" s="975"/>
      <c r="N109" s="973"/>
      <c r="O109" s="967"/>
    </row>
    <row r="110" spans="1:15" ht="9.75" customHeight="1">
      <c r="A110" s="967"/>
      <c r="B110" s="976"/>
      <c r="C110" s="976"/>
      <c r="D110" s="976"/>
      <c r="E110" s="976"/>
      <c r="F110" s="976"/>
      <c r="G110" s="976"/>
      <c r="H110" s="976"/>
      <c r="I110" s="976"/>
      <c r="J110" s="976"/>
      <c r="K110" s="976"/>
      <c r="L110" s="976"/>
      <c r="M110" s="976"/>
      <c r="N110" s="973"/>
      <c r="O110" s="967"/>
    </row>
  </sheetData>
  <sheetProtection/>
  <mergeCells count="28">
    <mergeCell ref="A103:V104"/>
    <mergeCell ref="A105:W105"/>
    <mergeCell ref="K5:W5"/>
    <mergeCell ref="A58:K59"/>
    <mergeCell ref="P62:W62"/>
    <mergeCell ref="P48:W48"/>
    <mergeCell ref="F12:H12"/>
    <mergeCell ref="A97:K98"/>
    <mergeCell ref="P67:W67"/>
    <mergeCell ref="P88:V89"/>
    <mergeCell ref="W88:W89"/>
    <mergeCell ref="A4:W4"/>
    <mergeCell ref="P74:W74"/>
    <mergeCell ref="F54:H54"/>
    <mergeCell ref="A9:W9"/>
    <mergeCell ref="A8:W8"/>
    <mergeCell ref="A10:K11"/>
    <mergeCell ref="P10:V11"/>
    <mergeCell ref="W10:W11"/>
    <mergeCell ref="A1:W1"/>
    <mergeCell ref="A51:K52"/>
    <mergeCell ref="A56:K57"/>
    <mergeCell ref="P54:W55"/>
    <mergeCell ref="P38:W39"/>
    <mergeCell ref="A2:W2"/>
    <mergeCell ref="A3:W3"/>
    <mergeCell ref="F55:H55"/>
    <mergeCell ref="S7:W7"/>
  </mergeCells>
  <printOptions horizontalCentered="1" verticalCentered="1"/>
  <pageMargins left="0" right="0" top="0" bottom="0" header="0" footer="0"/>
  <pageSetup horizontalDpi="600" verticalDpi="600" orientation="portrait" paperSize="9" scale="63" r:id="rId3"/>
  <legacyDrawing r:id="rId2"/>
  <oleObjects>
    <oleObject progId="Word.Picture.8" shapeId="150295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9" customHeight="1"/>
  <cols>
    <col min="1" max="1" width="17.375" style="1158" customWidth="1"/>
    <col min="2" max="2" width="5.875" style="978" customWidth="1"/>
    <col min="3" max="3" width="7.625" style="1157" customWidth="1"/>
    <col min="4" max="4" width="6.125" style="1158" customWidth="1"/>
    <col min="5" max="5" width="8.875" style="1158" customWidth="1"/>
    <col min="6" max="6" width="10.25390625" style="1158" customWidth="1"/>
    <col min="7" max="7" width="0.12890625" style="1158" customWidth="1"/>
    <col min="8" max="8" width="10.25390625" style="1159" customWidth="1"/>
    <col min="9" max="9" width="10.25390625" style="1159" hidden="1" customWidth="1"/>
    <col min="10" max="10" width="12.75390625" style="1159" hidden="1" customWidth="1"/>
    <col min="11" max="11" width="1.37890625" style="978" customWidth="1"/>
    <col min="12" max="12" width="25.75390625" style="1158" customWidth="1"/>
    <col min="13" max="13" width="6.00390625" style="1158" customWidth="1"/>
    <col min="14" max="14" width="6.25390625" style="1158" customWidth="1"/>
    <col min="15" max="15" width="9.25390625" style="1158" customWidth="1"/>
    <col min="16" max="16" width="11.125" style="1158" customWidth="1"/>
    <col min="17" max="17" width="9.125" style="1158" hidden="1" customWidth="1"/>
    <col min="18" max="18" width="12.75390625" style="1159" customWidth="1"/>
    <col min="19" max="19" width="19.625" style="979" customWidth="1"/>
    <col min="20" max="20" width="7.00390625" style="979" customWidth="1"/>
    <col min="21" max="21" width="3.25390625" style="979" customWidth="1"/>
    <col min="22" max="22" width="7.125" style="979" customWidth="1"/>
    <col min="23" max="23" width="9.125" style="979" customWidth="1"/>
    <col min="24" max="24" width="11.75390625" style="979" customWidth="1"/>
    <col min="25" max="25" width="12.875" style="979" customWidth="1"/>
    <col min="26" max="16384" width="9.125" style="979" customWidth="1"/>
  </cols>
  <sheetData>
    <row r="1" spans="1:18" ht="12.75" customHeight="1">
      <c r="A1" s="2245" t="s">
        <v>130</v>
      </c>
      <c r="B1" s="2245"/>
      <c r="C1" s="2245"/>
      <c r="D1" s="2245"/>
      <c r="E1" s="2246" t="s">
        <v>149</v>
      </c>
      <c r="F1" s="2246"/>
      <c r="G1" s="2246"/>
      <c r="H1" s="2246"/>
      <c r="I1" s="633"/>
      <c r="J1" s="633"/>
      <c r="L1" s="2244" t="s">
        <v>1745</v>
      </c>
      <c r="M1" s="2244"/>
      <c r="N1" s="2244"/>
      <c r="O1" s="2244"/>
      <c r="P1" s="2244"/>
      <c r="Q1" s="2244"/>
      <c r="R1" s="2244"/>
    </row>
    <row r="2" spans="1:18" ht="10.5" customHeight="1">
      <c r="A2" s="2245"/>
      <c r="B2" s="2245"/>
      <c r="C2" s="2245"/>
      <c r="D2" s="2245"/>
      <c r="E2" s="2246"/>
      <c r="F2" s="2246"/>
      <c r="G2" s="2246"/>
      <c r="H2" s="2246"/>
      <c r="I2" s="633"/>
      <c r="J2" s="633"/>
      <c r="L2" s="632" t="s">
        <v>1746</v>
      </c>
      <c r="M2" s="632" t="s">
        <v>355</v>
      </c>
      <c r="N2" s="632"/>
      <c r="O2" s="632"/>
      <c r="P2" s="632"/>
      <c r="Q2" s="632"/>
      <c r="R2" s="980" t="s">
        <v>1851</v>
      </c>
    </row>
    <row r="3" spans="1:18" ht="12" customHeight="1" thickBot="1">
      <c r="A3" s="981" t="s">
        <v>1526</v>
      </c>
      <c r="B3" s="981"/>
      <c r="C3" s="981"/>
      <c r="D3" s="981"/>
      <c r="E3" s="982" t="s">
        <v>368</v>
      </c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</row>
    <row r="4" spans="1:18" s="991" customFormat="1" ht="12" customHeight="1" thickBot="1">
      <c r="A4" s="634" t="s">
        <v>171</v>
      </c>
      <c r="B4" s="630"/>
      <c r="C4" s="983" t="s">
        <v>185</v>
      </c>
      <c r="D4" s="984" t="s">
        <v>174</v>
      </c>
      <c r="E4" s="984" t="s">
        <v>175</v>
      </c>
      <c r="F4" s="984" t="s">
        <v>841</v>
      </c>
      <c r="G4" s="630" t="s">
        <v>173</v>
      </c>
      <c r="H4" s="985" t="s">
        <v>184</v>
      </c>
      <c r="I4" s="20"/>
      <c r="J4" s="20"/>
      <c r="K4" s="9"/>
      <c r="L4" s="986" t="s">
        <v>171</v>
      </c>
      <c r="M4" s="984" t="s">
        <v>1785</v>
      </c>
      <c r="N4" s="987" t="s">
        <v>174</v>
      </c>
      <c r="O4" s="988" t="s">
        <v>175</v>
      </c>
      <c r="P4" s="988" t="s">
        <v>280</v>
      </c>
      <c r="Q4" s="989" t="s">
        <v>173</v>
      </c>
      <c r="R4" s="990" t="s">
        <v>172</v>
      </c>
    </row>
    <row r="5" spans="1:18" ht="12" customHeight="1">
      <c r="A5" s="992" t="s">
        <v>186</v>
      </c>
      <c r="B5" s="993"/>
      <c r="C5" s="994">
        <v>3.15</v>
      </c>
      <c r="D5" s="994">
        <v>20</v>
      </c>
      <c r="E5" s="994" t="s">
        <v>839</v>
      </c>
      <c r="F5" s="583"/>
      <c r="G5" s="584">
        <v>35340</v>
      </c>
      <c r="H5" s="584">
        <v>36687</v>
      </c>
      <c r="I5" s="544"/>
      <c r="J5" s="545"/>
      <c r="K5" s="7"/>
      <c r="L5" s="995" t="s">
        <v>190</v>
      </c>
      <c r="M5" s="996">
        <v>16</v>
      </c>
      <c r="N5" s="996">
        <v>25</v>
      </c>
      <c r="O5" s="996" t="s">
        <v>55</v>
      </c>
      <c r="P5" s="997" t="s">
        <v>829</v>
      </c>
      <c r="Q5" s="998">
        <v>22920</v>
      </c>
      <c r="R5" s="998">
        <v>24330</v>
      </c>
    </row>
    <row r="6" spans="1:18" ht="12" customHeight="1">
      <c r="A6" s="999" t="s">
        <v>187</v>
      </c>
      <c r="B6" s="1000"/>
      <c r="C6" s="1001">
        <v>12.5</v>
      </c>
      <c r="D6" s="1001">
        <v>20</v>
      </c>
      <c r="E6" s="1001" t="s">
        <v>489</v>
      </c>
      <c r="F6" s="585"/>
      <c r="G6" s="586">
        <v>36310</v>
      </c>
      <c r="H6" s="586">
        <v>37581</v>
      </c>
      <c r="I6" s="544"/>
      <c r="J6" s="546"/>
      <c r="K6" s="7"/>
      <c r="L6" s="1002" t="s">
        <v>195</v>
      </c>
      <c r="M6" s="1003">
        <v>25</v>
      </c>
      <c r="N6" s="1003">
        <v>14</v>
      </c>
      <c r="O6" s="1003" t="s">
        <v>58</v>
      </c>
      <c r="P6" s="587">
        <v>17419</v>
      </c>
      <c r="Q6" s="588">
        <v>23280</v>
      </c>
      <c r="R6" s="588">
        <v>25050</v>
      </c>
    </row>
    <row r="7" spans="1:18" ht="12" customHeight="1">
      <c r="A7" s="999" t="s">
        <v>188</v>
      </c>
      <c r="B7" s="1000"/>
      <c r="C7" s="1001">
        <v>25</v>
      </c>
      <c r="D7" s="1001">
        <v>32</v>
      </c>
      <c r="E7" s="1001" t="s">
        <v>483</v>
      </c>
      <c r="F7" s="585"/>
      <c r="G7" s="586">
        <v>48576</v>
      </c>
      <c r="H7" s="586">
        <v>50033</v>
      </c>
      <c r="I7" s="544"/>
      <c r="J7" s="547"/>
      <c r="K7" s="7"/>
      <c r="L7" s="1002" t="s">
        <v>197</v>
      </c>
      <c r="M7" s="1003">
        <v>32</v>
      </c>
      <c r="N7" s="1003">
        <v>40</v>
      </c>
      <c r="O7" s="1003" t="s">
        <v>760</v>
      </c>
      <c r="P7" s="587">
        <v>17491</v>
      </c>
      <c r="Q7" s="588">
        <v>29451</v>
      </c>
      <c r="R7" s="588">
        <v>30448</v>
      </c>
    </row>
    <row r="8" spans="1:18" ht="12" customHeight="1">
      <c r="A8" s="999" t="s">
        <v>113</v>
      </c>
      <c r="B8" s="1004"/>
      <c r="C8" s="1001">
        <v>50</v>
      </c>
      <c r="D8" s="1001">
        <v>50</v>
      </c>
      <c r="E8" s="1001" t="s">
        <v>759</v>
      </c>
      <c r="F8" s="1686">
        <v>11510</v>
      </c>
      <c r="G8" s="1005">
        <v>32775</v>
      </c>
      <c r="H8" s="1005">
        <v>30774</v>
      </c>
      <c r="I8" s="544">
        <v>19594</v>
      </c>
      <c r="J8" s="546">
        <v>12780</v>
      </c>
      <c r="K8" s="7"/>
      <c r="L8" s="1002" t="s">
        <v>199</v>
      </c>
      <c r="M8" s="1003">
        <v>50</v>
      </c>
      <c r="N8" s="1003">
        <v>10</v>
      </c>
      <c r="O8" s="1003" t="s">
        <v>486</v>
      </c>
      <c r="P8" s="587">
        <v>15908</v>
      </c>
      <c r="Q8" s="588">
        <v>20845</v>
      </c>
      <c r="R8" s="588">
        <v>24330</v>
      </c>
    </row>
    <row r="9" spans="1:18" ht="12" customHeight="1">
      <c r="A9" s="999" t="s">
        <v>101</v>
      </c>
      <c r="B9" s="1000"/>
      <c r="C9" s="1001">
        <v>43</v>
      </c>
      <c r="D9" s="1001">
        <v>45</v>
      </c>
      <c r="E9" s="1001" t="s">
        <v>760</v>
      </c>
      <c r="F9" s="1686">
        <v>11510</v>
      </c>
      <c r="G9" s="1005">
        <v>24479</v>
      </c>
      <c r="H9" s="1005">
        <v>23958</v>
      </c>
      <c r="I9" s="544">
        <v>11298</v>
      </c>
      <c r="J9" s="546">
        <v>12780</v>
      </c>
      <c r="K9" s="7"/>
      <c r="L9" s="1002" t="s">
        <v>201</v>
      </c>
      <c r="M9" s="1003">
        <v>50</v>
      </c>
      <c r="N9" s="1003">
        <v>56</v>
      </c>
      <c r="O9" s="1003" t="s">
        <v>761</v>
      </c>
      <c r="P9" s="587">
        <v>19147</v>
      </c>
      <c r="Q9" s="588">
        <v>45830</v>
      </c>
      <c r="R9" s="588">
        <v>47579</v>
      </c>
    </row>
    <row r="10" spans="1:18" ht="12" customHeight="1">
      <c r="A10" s="999" t="s">
        <v>1997</v>
      </c>
      <c r="B10" s="1004"/>
      <c r="C10" s="1001">
        <v>32</v>
      </c>
      <c r="D10" s="1001">
        <v>25</v>
      </c>
      <c r="E10" s="1001" t="s">
        <v>760</v>
      </c>
      <c r="F10" s="1686">
        <v>11510</v>
      </c>
      <c r="G10" s="1005">
        <v>24479</v>
      </c>
      <c r="H10" s="1005">
        <v>23958</v>
      </c>
      <c r="I10" s="544">
        <v>11298</v>
      </c>
      <c r="J10" s="546">
        <v>12780</v>
      </c>
      <c r="K10" s="7"/>
      <c r="L10" s="1002" t="s">
        <v>203</v>
      </c>
      <c r="M10" s="1003">
        <v>44</v>
      </c>
      <c r="N10" s="1003">
        <v>46</v>
      </c>
      <c r="O10" s="1003" t="s">
        <v>759</v>
      </c>
      <c r="P10" s="587">
        <v>19147</v>
      </c>
      <c r="Q10" s="588">
        <v>41575</v>
      </c>
      <c r="R10" s="588">
        <v>42756</v>
      </c>
    </row>
    <row r="11" spans="1:18" ht="12" customHeight="1">
      <c r="A11" s="999" t="s">
        <v>102</v>
      </c>
      <c r="B11" s="1004"/>
      <c r="C11" s="1001">
        <v>25</v>
      </c>
      <c r="D11" s="1001">
        <v>13</v>
      </c>
      <c r="E11" s="1001" t="s">
        <v>486</v>
      </c>
      <c r="F11" s="1686">
        <v>11510</v>
      </c>
      <c r="G11" s="1005">
        <v>19255</v>
      </c>
      <c r="H11" s="1005">
        <v>19405</v>
      </c>
      <c r="I11" s="544">
        <v>5998</v>
      </c>
      <c r="J11" s="546">
        <v>12780</v>
      </c>
      <c r="K11" s="7"/>
      <c r="L11" s="1002" t="s">
        <v>214</v>
      </c>
      <c r="M11" s="1003">
        <v>70</v>
      </c>
      <c r="N11" s="1003">
        <v>80</v>
      </c>
      <c r="O11" s="1003" t="s">
        <v>487</v>
      </c>
      <c r="P11" s="587">
        <v>29224</v>
      </c>
      <c r="Q11" s="588">
        <v>56985</v>
      </c>
      <c r="R11" s="588">
        <v>60031</v>
      </c>
    </row>
    <row r="12" spans="1:18" ht="12" customHeight="1">
      <c r="A12" s="999" t="s">
        <v>103</v>
      </c>
      <c r="B12" s="1000"/>
      <c r="C12" s="1001">
        <v>100</v>
      </c>
      <c r="D12" s="1001">
        <v>50</v>
      </c>
      <c r="E12" s="1001" t="s">
        <v>488</v>
      </c>
      <c r="F12" s="1686">
        <v>12167</v>
      </c>
      <c r="G12" s="1005">
        <v>51239</v>
      </c>
      <c r="H12" s="1005">
        <v>45965</v>
      </c>
      <c r="I12" s="544">
        <v>36973</v>
      </c>
      <c r="J12" s="546">
        <v>13842</v>
      </c>
      <c r="K12" s="7"/>
      <c r="L12" s="1002" t="s">
        <v>215</v>
      </c>
      <c r="M12" s="1003">
        <v>45</v>
      </c>
      <c r="N12" s="1003">
        <v>70</v>
      </c>
      <c r="O12" s="1003" t="s">
        <v>761</v>
      </c>
      <c r="P12" s="587">
        <v>29224</v>
      </c>
      <c r="Q12" s="588">
        <v>53892</v>
      </c>
      <c r="R12" s="588">
        <v>57728</v>
      </c>
    </row>
    <row r="13" spans="1:18" ht="12" customHeight="1">
      <c r="A13" s="999" t="s">
        <v>104</v>
      </c>
      <c r="B13" s="1000"/>
      <c r="C13" s="1001">
        <v>100</v>
      </c>
      <c r="D13" s="1001">
        <v>32</v>
      </c>
      <c r="E13" s="1001" t="s">
        <v>761</v>
      </c>
      <c r="F13" s="1686">
        <v>12167</v>
      </c>
      <c r="G13" s="1005">
        <v>37935</v>
      </c>
      <c r="H13" s="1005">
        <v>36533</v>
      </c>
      <c r="I13" s="544">
        <v>23669</v>
      </c>
      <c r="J13" s="546">
        <v>13842</v>
      </c>
      <c r="K13" s="7"/>
      <c r="L13" s="1002" t="s">
        <v>217</v>
      </c>
      <c r="M13" s="1003">
        <v>80</v>
      </c>
      <c r="N13" s="1003">
        <v>18</v>
      </c>
      <c r="O13" s="1003" t="s">
        <v>1751</v>
      </c>
      <c r="P13" s="587">
        <v>30448</v>
      </c>
      <c r="Q13" s="588">
        <v>55748</v>
      </c>
      <c r="R13" s="588">
        <v>46343</v>
      </c>
    </row>
    <row r="14" spans="1:18" ht="12" customHeight="1">
      <c r="A14" s="999" t="s">
        <v>105</v>
      </c>
      <c r="B14" s="1004"/>
      <c r="C14" s="1001">
        <v>80</v>
      </c>
      <c r="D14" s="1001">
        <v>32</v>
      </c>
      <c r="E14" s="1001" t="s">
        <v>759</v>
      </c>
      <c r="F14" s="1686">
        <v>12167</v>
      </c>
      <c r="G14" s="1005">
        <v>33860</v>
      </c>
      <c r="H14" s="1005">
        <v>31853</v>
      </c>
      <c r="I14" s="544">
        <v>19594</v>
      </c>
      <c r="J14" s="546">
        <v>13842</v>
      </c>
      <c r="K14" s="7"/>
      <c r="L14" s="1002" t="s">
        <v>220</v>
      </c>
      <c r="M14" s="1003">
        <v>80</v>
      </c>
      <c r="N14" s="1003">
        <v>18</v>
      </c>
      <c r="O14" s="1003" t="s">
        <v>1751</v>
      </c>
      <c r="P14" s="587" t="s">
        <v>829</v>
      </c>
      <c r="Q14" s="588">
        <v>63253</v>
      </c>
      <c r="R14" s="588" t="s">
        <v>337</v>
      </c>
    </row>
    <row r="15" spans="1:18" ht="12" customHeight="1">
      <c r="A15" s="999" t="s">
        <v>106</v>
      </c>
      <c r="B15" s="1000"/>
      <c r="C15" s="1001" t="s">
        <v>189</v>
      </c>
      <c r="D15" s="1001">
        <v>12.5</v>
      </c>
      <c r="E15" s="1001" t="s">
        <v>481</v>
      </c>
      <c r="F15" s="1686">
        <v>12167</v>
      </c>
      <c r="G15" s="1005">
        <v>22670</v>
      </c>
      <c r="H15" s="1005">
        <v>22977</v>
      </c>
      <c r="I15" s="544">
        <v>8404</v>
      </c>
      <c r="J15" s="546">
        <v>13842</v>
      </c>
      <c r="K15" s="7"/>
      <c r="L15" s="1002" t="s">
        <v>223</v>
      </c>
      <c r="M15" s="1003">
        <v>80</v>
      </c>
      <c r="N15" s="1003">
        <v>32</v>
      </c>
      <c r="O15" s="1003" t="s">
        <v>840</v>
      </c>
      <c r="P15" s="1006" t="s">
        <v>829</v>
      </c>
      <c r="Q15" s="588">
        <v>54042</v>
      </c>
      <c r="R15" s="588">
        <v>57368</v>
      </c>
    </row>
    <row r="16" spans="1:18" ht="12" customHeight="1">
      <c r="A16" s="999" t="s">
        <v>107</v>
      </c>
      <c r="B16" s="1004"/>
      <c r="C16" s="1001">
        <v>45</v>
      </c>
      <c r="D16" s="1001">
        <v>9</v>
      </c>
      <c r="E16" s="1001" t="s">
        <v>58</v>
      </c>
      <c r="F16" s="1686">
        <v>12167</v>
      </c>
      <c r="G16" s="1005">
        <v>19946</v>
      </c>
      <c r="H16" s="1005">
        <v>20185</v>
      </c>
      <c r="I16" s="544">
        <v>5680</v>
      </c>
      <c r="J16" s="546">
        <v>13842</v>
      </c>
      <c r="K16" s="7"/>
      <c r="L16" s="1002" t="s">
        <v>225</v>
      </c>
      <c r="M16" s="1003">
        <v>80</v>
      </c>
      <c r="N16" s="1003">
        <v>32</v>
      </c>
      <c r="O16" s="1003" t="s">
        <v>1752</v>
      </c>
      <c r="P16" s="587" t="s">
        <v>829</v>
      </c>
      <c r="Q16" s="588" t="s">
        <v>337</v>
      </c>
      <c r="R16" s="588" t="s">
        <v>337</v>
      </c>
    </row>
    <row r="17" spans="1:18" ht="12" customHeight="1">
      <c r="A17" s="999" t="s">
        <v>108</v>
      </c>
      <c r="B17" s="1000"/>
      <c r="C17" s="1001">
        <v>100</v>
      </c>
      <c r="D17" s="1001">
        <v>80</v>
      </c>
      <c r="E17" s="1001" t="s">
        <v>762</v>
      </c>
      <c r="F17" s="1686">
        <v>14864</v>
      </c>
      <c r="G17" s="1005">
        <v>59046</v>
      </c>
      <c r="H17" s="1005">
        <v>61925</v>
      </c>
      <c r="I17" s="544">
        <v>44780</v>
      </c>
      <c r="J17" s="546">
        <v>16284</v>
      </c>
      <c r="K17" s="7"/>
      <c r="L17" s="1002" t="s">
        <v>227</v>
      </c>
      <c r="M17" s="1003">
        <v>100</v>
      </c>
      <c r="N17" s="1003">
        <v>40</v>
      </c>
      <c r="O17" s="1003" t="s">
        <v>487</v>
      </c>
      <c r="P17" s="587">
        <v>18499</v>
      </c>
      <c r="Q17" s="588">
        <v>46692</v>
      </c>
      <c r="R17" s="588">
        <v>47507</v>
      </c>
    </row>
    <row r="18" spans="1:18" ht="12" customHeight="1">
      <c r="A18" s="999" t="s">
        <v>109</v>
      </c>
      <c r="B18" s="1000"/>
      <c r="C18" s="1001">
        <v>50</v>
      </c>
      <c r="D18" s="1001">
        <v>20</v>
      </c>
      <c r="E18" s="1001" t="s">
        <v>915</v>
      </c>
      <c r="F18" s="1686">
        <v>14864</v>
      </c>
      <c r="G18" s="1005">
        <v>26978</v>
      </c>
      <c r="H18" s="1005">
        <v>27332</v>
      </c>
      <c r="I18" s="544">
        <v>10187</v>
      </c>
      <c r="J18" s="546">
        <v>16284</v>
      </c>
      <c r="K18" s="7"/>
      <c r="L18" s="1002" t="s">
        <v>228</v>
      </c>
      <c r="M18" s="1003">
        <v>90</v>
      </c>
      <c r="N18" s="1003">
        <v>33</v>
      </c>
      <c r="O18" s="1003" t="s">
        <v>761</v>
      </c>
      <c r="P18" s="587">
        <v>18499</v>
      </c>
      <c r="Q18" s="588">
        <v>43599</v>
      </c>
      <c r="R18" s="588">
        <v>46067</v>
      </c>
    </row>
    <row r="19" spans="1:18" ht="12" customHeight="1">
      <c r="A19" s="999" t="s">
        <v>1996</v>
      </c>
      <c r="B19" s="1000"/>
      <c r="C19" s="1001">
        <v>80</v>
      </c>
      <c r="D19" s="1001">
        <v>70</v>
      </c>
      <c r="E19" s="1001" t="s">
        <v>488</v>
      </c>
      <c r="F19" s="1686">
        <v>14864</v>
      </c>
      <c r="G19" s="1005">
        <v>53764</v>
      </c>
      <c r="H19" s="1005">
        <v>54118</v>
      </c>
      <c r="I19" s="544">
        <v>36973</v>
      </c>
      <c r="J19" s="546">
        <v>16284</v>
      </c>
      <c r="K19" s="7"/>
      <c r="L19" s="1002" t="s">
        <v>230</v>
      </c>
      <c r="M19" s="1003">
        <v>80</v>
      </c>
      <c r="N19" s="1003">
        <v>28</v>
      </c>
      <c r="O19" s="1003" t="s">
        <v>759</v>
      </c>
      <c r="P19" s="587" t="s">
        <v>829</v>
      </c>
      <c r="Q19" s="588">
        <v>35126</v>
      </c>
      <c r="R19" s="588">
        <v>40237</v>
      </c>
    </row>
    <row r="20" spans="1:18" ht="12" customHeight="1">
      <c r="A20" s="999" t="s">
        <v>1995</v>
      </c>
      <c r="B20" s="1000"/>
      <c r="C20" s="1001">
        <v>70</v>
      </c>
      <c r="D20" s="1001">
        <v>60</v>
      </c>
      <c r="E20" s="1001" t="s">
        <v>487</v>
      </c>
      <c r="F20" s="1686">
        <v>14864</v>
      </c>
      <c r="G20" s="1005">
        <v>43445</v>
      </c>
      <c r="H20" s="1005">
        <v>43779</v>
      </c>
      <c r="I20" s="544">
        <v>26654</v>
      </c>
      <c r="J20" s="546">
        <v>16284</v>
      </c>
      <c r="K20" s="7"/>
      <c r="L20" s="1002" t="s">
        <v>232</v>
      </c>
      <c r="M20" s="1003">
        <v>160</v>
      </c>
      <c r="N20" s="1003">
        <v>45</v>
      </c>
      <c r="O20" s="1003" t="s">
        <v>800</v>
      </c>
      <c r="P20" s="587">
        <v>55281</v>
      </c>
      <c r="Q20" s="588">
        <v>78386</v>
      </c>
      <c r="R20" s="588">
        <v>87312</v>
      </c>
    </row>
    <row r="21" spans="1:18" ht="12" customHeight="1">
      <c r="A21" s="999" t="s">
        <v>110</v>
      </c>
      <c r="B21" s="1000"/>
      <c r="C21" s="1001">
        <v>80</v>
      </c>
      <c r="D21" s="1001">
        <v>32</v>
      </c>
      <c r="E21" s="1001" t="s">
        <v>1752</v>
      </c>
      <c r="F21" s="1686">
        <v>21622</v>
      </c>
      <c r="G21" s="1005">
        <v>47045</v>
      </c>
      <c r="H21" s="1005">
        <v>47517</v>
      </c>
      <c r="I21" s="544">
        <v>23834</v>
      </c>
      <c r="J21" s="546">
        <v>23189</v>
      </c>
      <c r="K21" s="7"/>
      <c r="L21" s="1002" t="s">
        <v>234</v>
      </c>
      <c r="M21" s="1003">
        <v>144</v>
      </c>
      <c r="N21" s="1003">
        <v>36</v>
      </c>
      <c r="O21" s="1003" t="s">
        <v>1750</v>
      </c>
      <c r="P21" s="587">
        <v>56504</v>
      </c>
      <c r="Q21" s="588">
        <v>80186</v>
      </c>
      <c r="R21" s="588">
        <v>85008</v>
      </c>
    </row>
    <row r="22" spans="1:18" ht="12" customHeight="1">
      <c r="A22" s="999" t="s">
        <v>111</v>
      </c>
      <c r="B22" s="1000"/>
      <c r="C22" s="1001">
        <v>73</v>
      </c>
      <c r="D22" s="1001">
        <v>26</v>
      </c>
      <c r="E22" s="1001" t="s">
        <v>840</v>
      </c>
      <c r="F22" s="1686">
        <v>21622</v>
      </c>
      <c r="G22" s="1005">
        <v>43017</v>
      </c>
      <c r="H22" s="1005">
        <v>43489</v>
      </c>
      <c r="I22" s="544">
        <v>19806</v>
      </c>
      <c r="J22" s="546">
        <v>23189</v>
      </c>
      <c r="K22" s="7"/>
      <c r="L22" s="1002" t="s">
        <v>191</v>
      </c>
      <c r="M22" s="1003">
        <v>160</v>
      </c>
      <c r="N22" s="1003">
        <v>45</v>
      </c>
      <c r="O22" s="1003" t="s">
        <v>800</v>
      </c>
      <c r="P22" s="587" t="s">
        <v>829</v>
      </c>
      <c r="Q22" s="588">
        <v>154056</v>
      </c>
      <c r="R22" s="588" t="s">
        <v>337</v>
      </c>
    </row>
    <row r="23" spans="1:18" ht="12" customHeight="1">
      <c r="A23" s="999" t="s">
        <v>1929</v>
      </c>
      <c r="B23" s="1000"/>
      <c r="C23" s="1001">
        <v>100</v>
      </c>
      <c r="D23" s="1001">
        <v>20</v>
      </c>
      <c r="E23" s="1001" t="s">
        <v>1753</v>
      </c>
      <c r="F23" s="1686">
        <v>24503</v>
      </c>
      <c r="G23" s="1005">
        <v>44502</v>
      </c>
      <c r="H23" s="1005">
        <v>45044</v>
      </c>
      <c r="I23" s="544">
        <v>17633</v>
      </c>
      <c r="J23" s="546">
        <v>26848</v>
      </c>
      <c r="K23" s="7"/>
      <c r="L23" s="1002" t="s">
        <v>196</v>
      </c>
      <c r="M23" s="1003">
        <v>144</v>
      </c>
      <c r="N23" s="1003">
        <v>36</v>
      </c>
      <c r="O23" s="1003" t="s">
        <v>1750</v>
      </c>
      <c r="P23" s="587" t="s">
        <v>829</v>
      </c>
      <c r="Q23" s="588">
        <v>145205</v>
      </c>
      <c r="R23" s="588" t="s">
        <v>337</v>
      </c>
    </row>
    <row r="24" spans="1:18" ht="12" customHeight="1">
      <c r="A24" s="999" t="s">
        <v>1930</v>
      </c>
      <c r="B24" s="1000"/>
      <c r="C24" s="1001">
        <v>100</v>
      </c>
      <c r="D24" s="1001">
        <v>15</v>
      </c>
      <c r="E24" s="1001" t="s">
        <v>1751</v>
      </c>
      <c r="F24" s="1686">
        <v>24503</v>
      </c>
      <c r="G24" s="1005">
        <v>38737</v>
      </c>
      <c r="H24" s="1005">
        <v>39279</v>
      </c>
      <c r="I24" s="544">
        <v>11868</v>
      </c>
      <c r="J24" s="546">
        <v>26848</v>
      </c>
      <c r="K24" s="7"/>
      <c r="L24" s="1002" t="s">
        <v>198</v>
      </c>
      <c r="M24" s="1003">
        <v>250</v>
      </c>
      <c r="N24" s="1003">
        <v>22</v>
      </c>
      <c r="O24" s="1003" t="s">
        <v>800</v>
      </c>
      <c r="P24" s="587">
        <v>55712</v>
      </c>
      <c r="Q24" s="588">
        <v>96615</v>
      </c>
      <c r="R24" s="588">
        <v>101132</v>
      </c>
    </row>
    <row r="25" spans="1:18" ht="12" customHeight="1">
      <c r="A25" s="999" t="s">
        <v>1932</v>
      </c>
      <c r="B25" s="1000"/>
      <c r="C25" s="1001">
        <v>80</v>
      </c>
      <c r="D25" s="1001">
        <v>14</v>
      </c>
      <c r="E25" s="1001" t="s">
        <v>915</v>
      </c>
      <c r="F25" s="1686">
        <v>24503</v>
      </c>
      <c r="G25" s="1005">
        <v>37056</v>
      </c>
      <c r="H25" s="1005">
        <v>37598</v>
      </c>
      <c r="I25" s="544">
        <v>10187</v>
      </c>
      <c r="J25" s="546">
        <v>26848</v>
      </c>
      <c r="K25" s="7"/>
      <c r="L25" s="1002" t="s">
        <v>200</v>
      </c>
      <c r="M25" s="1003">
        <v>225</v>
      </c>
      <c r="N25" s="1003">
        <v>18</v>
      </c>
      <c r="O25" s="1003" t="s">
        <v>1750</v>
      </c>
      <c r="P25" s="587">
        <v>55712</v>
      </c>
      <c r="Q25" s="588">
        <v>96992</v>
      </c>
      <c r="R25" s="588">
        <v>92566</v>
      </c>
    </row>
    <row r="26" spans="1:18" ht="12" customHeight="1">
      <c r="A26" s="999" t="s">
        <v>112</v>
      </c>
      <c r="B26" s="1000"/>
      <c r="C26" s="1001">
        <v>200</v>
      </c>
      <c r="D26" s="1001">
        <v>32</v>
      </c>
      <c r="E26" s="1001" t="s">
        <v>800</v>
      </c>
      <c r="F26" s="1686">
        <v>26665</v>
      </c>
      <c r="G26" s="1005">
        <v>68318</v>
      </c>
      <c r="H26" s="1005">
        <v>63124</v>
      </c>
      <c r="I26" s="544">
        <v>39066</v>
      </c>
      <c r="J26" s="546">
        <v>27813</v>
      </c>
      <c r="K26" s="7"/>
      <c r="L26" s="1002" t="s">
        <v>202</v>
      </c>
      <c r="M26" s="1003">
        <v>205</v>
      </c>
      <c r="N26" s="1003">
        <v>15</v>
      </c>
      <c r="O26" s="1003" t="s">
        <v>1752</v>
      </c>
      <c r="P26" s="587" t="s">
        <v>829</v>
      </c>
      <c r="Q26" s="588">
        <v>79322</v>
      </c>
      <c r="R26" s="588">
        <v>85872</v>
      </c>
    </row>
    <row r="27" spans="1:18" ht="12" customHeight="1">
      <c r="A27" s="999" t="s">
        <v>1978</v>
      </c>
      <c r="B27" s="1000"/>
      <c r="C27" s="1001">
        <v>175</v>
      </c>
      <c r="D27" s="1001">
        <v>27</v>
      </c>
      <c r="E27" s="1001" t="s">
        <v>1750</v>
      </c>
      <c r="F27" s="1686">
        <v>26665</v>
      </c>
      <c r="G27" s="1005">
        <v>58645</v>
      </c>
      <c r="H27" s="1005">
        <v>59247</v>
      </c>
      <c r="I27" s="544">
        <v>29393</v>
      </c>
      <c r="J27" s="546">
        <v>27813</v>
      </c>
      <c r="K27" s="7"/>
      <c r="L27" s="1002" t="s">
        <v>216</v>
      </c>
      <c r="M27" s="1003">
        <v>450</v>
      </c>
      <c r="N27" s="1003">
        <v>22</v>
      </c>
      <c r="O27" s="1003" t="s">
        <v>793</v>
      </c>
      <c r="P27" s="587">
        <v>86520</v>
      </c>
      <c r="Q27" s="588">
        <v>179512</v>
      </c>
      <c r="R27" s="588">
        <v>186501</v>
      </c>
    </row>
    <row r="28" spans="1:18" ht="12" customHeight="1">
      <c r="A28" s="999" t="s">
        <v>1979</v>
      </c>
      <c r="B28" s="1000"/>
      <c r="C28" s="1001">
        <v>160</v>
      </c>
      <c r="D28" s="1001">
        <v>22.5</v>
      </c>
      <c r="E28" s="1001" t="s">
        <v>1752</v>
      </c>
      <c r="F28" s="1686">
        <v>26665</v>
      </c>
      <c r="G28" s="1005">
        <v>53086</v>
      </c>
      <c r="H28" s="1005">
        <v>53688</v>
      </c>
      <c r="I28" s="544">
        <v>23834</v>
      </c>
      <c r="J28" s="546">
        <v>27813</v>
      </c>
      <c r="K28" s="7"/>
      <c r="L28" s="1002" t="s">
        <v>219</v>
      </c>
      <c r="M28" s="1003">
        <v>400</v>
      </c>
      <c r="N28" s="1003">
        <v>18.5</v>
      </c>
      <c r="O28" s="1003" t="s">
        <v>792</v>
      </c>
      <c r="P28" s="587" t="s">
        <v>829</v>
      </c>
      <c r="Q28" s="588">
        <v>157892</v>
      </c>
      <c r="R28" s="588" t="s">
        <v>337</v>
      </c>
    </row>
    <row r="29" spans="1:18" ht="12" customHeight="1">
      <c r="A29" s="999" t="s">
        <v>1979</v>
      </c>
      <c r="B29" s="1000"/>
      <c r="C29" s="1001">
        <v>145</v>
      </c>
      <c r="D29" s="1001">
        <v>20.5</v>
      </c>
      <c r="E29" s="1001" t="s">
        <v>1750</v>
      </c>
      <c r="F29" s="1686">
        <v>26665</v>
      </c>
      <c r="G29" s="1005">
        <v>58645</v>
      </c>
      <c r="H29" s="1005">
        <v>55901</v>
      </c>
      <c r="I29" s="544">
        <v>29393</v>
      </c>
      <c r="J29" s="546">
        <v>27813</v>
      </c>
      <c r="K29" s="7"/>
      <c r="L29" s="1002" t="s">
        <v>222</v>
      </c>
      <c r="M29" s="1003">
        <v>450</v>
      </c>
      <c r="N29" s="1003">
        <v>56</v>
      </c>
      <c r="O29" s="1003" t="s">
        <v>718</v>
      </c>
      <c r="P29" s="587">
        <v>160326</v>
      </c>
      <c r="Q29" s="588">
        <v>275044</v>
      </c>
      <c r="R29" s="588">
        <v>285443</v>
      </c>
    </row>
    <row r="30" spans="1:18" ht="12" customHeight="1">
      <c r="A30" s="999" t="s">
        <v>1980</v>
      </c>
      <c r="B30" s="1007"/>
      <c r="C30" s="1001">
        <v>200</v>
      </c>
      <c r="D30" s="1001">
        <v>32</v>
      </c>
      <c r="E30" s="1001" t="s">
        <v>791</v>
      </c>
      <c r="F30" s="1686">
        <v>38467</v>
      </c>
      <c r="G30" s="1005">
        <v>93165</v>
      </c>
      <c r="H30" s="1005">
        <v>88125</v>
      </c>
      <c r="I30" s="544">
        <v>51770</v>
      </c>
      <c r="J30" s="546">
        <v>40167</v>
      </c>
      <c r="K30" s="7"/>
      <c r="L30" s="1002" t="s">
        <v>224</v>
      </c>
      <c r="M30" s="1003">
        <v>410</v>
      </c>
      <c r="N30" s="1003">
        <v>46</v>
      </c>
      <c r="O30" s="1003" t="s">
        <v>717</v>
      </c>
      <c r="P30" s="587">
        <v>160326</v>
      </c>
      <c r="Q30" s="588">
        <v>258081</v>
      </c>
      <c r="R30" s="588" t="s">
        <v>337</v>
      </c>
    </row>
    <row r="31" spans="1:18" ht="12" customHeight="1">
      <c r="A31" s="999" t="s">
        <v>1981</v>
      </c>
      <c r="B31" s="1007"/>
      <c r="C31" s="1001">
        <v>100</v>
      </c>
      <c r="D31" s="1001">
        <v>14</v>
      </c>
      <c r="E31" s="1001" t="s">
        <v>797</v>
      </c>
      <c r="F31" s="1686">
        <v>30750</v>
      </c>
      <c r="G31" s="1005">
        <v>49238</v>
      </c>
      <c r="H31" s="1005">
        <v>47494</v>
      </c>
      <c r="I31" s="544">
        <v>19986</v>
      </c>
      <c r="J31" s="546">
        <v>27813</v>
      </c>
      <c r="K31" s="7"/>
      <c r="L31" s="1002" t="s">
        <v>226</v>
      </c>
      <c r="M31" s="1003">
        <v>370</v>
      </c>
      <c r="N31" s="1003">
        <v>39</v>
      </c>
      <c r="O31" s="1003" t="s">
        <v>795</v>
      </c>
      <c r="P31" s="587">
        <v>160326</v>
      </c>
      <c r="Q31" s="588">
        <v>327093</v>
      </c>
      <c r="R31" s="588" t="s">
        <v>337</v>
      </c>
    </row>
    <row r="32" spans="1:18" ht="12" customHeight="1">
      <c r="A32" s="999" t="s">
        <v>1982</v>
      </c>
      <c r="B32" s="1007"/>
      <c r="C32" s="1001">
        <v>200</v>
      </c>
      <c r="D32" s="1001">
        <v>50</v>
      </c>
      <c r="E32" s="1001" t="s">
        <v>791</v>
      </c>
      <c r="F32" s="1687">
        <v>74211</v>
      </c>
      <c r="G32" s="586">
        <v>138346</v>
      </c>
      <c r="H32" s="586">
        <v>134891</v>
      </c>
      <c r="I32" s="544">
        <v>51770</v>
      </c>
      <c r="J32" s="546"/>
      <c r="K32" s="7"/>
      <c r="L32" s="1002" t="s">
        <v>229</v>
      </c>
      <c r="M32" s="1003">
        <v>800</v>
      </c>
      <c r="N32" s="1003">
        <v>32</v>
      </c>
      <c r="O32" s="1003" t="s">
        <v>784</v>
      </c>
      <c r="P32" s="1008">
        <v>165122</v>
      </c>
      <c r="Q32" s="588">
        <v>369746</v>
      </c>
      <c r="R32" s="588" t="s">
        <v>337</v>
      </c>
    </row>
    <row r="33" spans="1:18" ht="12" customHeight="1">
      <c r="A33" s="999" t="s">
        <v>1983</v>
      </c>
      <c r="B33" s="1007"/>
      <c r="C33" s="1001">
        <v>500</v>
      </c>
      <c r="D33" s="1001">
        <v>50</v>
      </c>
      <c r="E33" s="1001" t="s">
        <v>718</v>
      </c>
      <c r="F33" s="1687">
        <v>39525</v>
      </c>
      <c r="G33" s="1005">
        <v>156075</v>
      </c>
      <c r="H33" s="1005">
        <v>156947</v>
      </c>
      <c r="I33" s="544">
        <v>113335</v>
      </c>
      <c r="J33" s="546">
        <v>41477</v>
      </c>
      <c r="K33" s="7"/>
      <c r="L33" s="1002" t="s">
        <v>231</v>
      </c>
      <c r="M33" s="1003">
        <v>720</v>
      </c>
      <c r="N33" s="1003">
        <v>26.5</v>
      </c>
      <c r="O33" s="1003" t="s">
        <v>2052</v>
      </c>
      <c r="P33" s="1008">
        <v>165122</v>
      </c>
      <c r="Q33" s="588">
        <v>338708</v>
      </c>
      <c r="R33" s="588" t="s">
        <v>337</v>
      </c>
    </row>
    <row r="34" spans="1:18" ht="12" customHeight="1" thickBot="1">
      <c r="A34" s="999" t="s">
        <v>1984</v>
      </c>
      <c r="B34" s="1007"/>
      <c r="C34" s="1001">
        <v>450</v>
      </c>
      <c r="D34" s="1001">
        <v>43.5</v>
      </c>
      <c r="E34" s="1001" t="s">
        <v>795</v>
      </c>
      <c r="F34" s="1687">
        <v>39525</v>
      </c>
      <c r="G34" s="1005">
        <v>117979</v>
      </c>
      <c r="H34" s="1005">
        <v>118851</v>
      </c>
      <c r="I34" s="544">
        <v>75239</v>
      </c>
      <c r="J34" s="546">
        <v>41477</v>
      </c>
      <c r="K34" s="7"/>
      <c r="L34" s="1009" t="s">
        <v>233</v>
      </c>
      <c r="M34" s="1010">
        <v>580</v>
      </c>
      <c r="N34" s="1010">
        <v>225</v>
      </c>
      <c r="O34" s="1010" t="s">
        <v>796</v>
      </c>
      <c r="P34" s="1011">
        <v>165122</v>
      </c>
      <c r="Q34" s="589">
        <v>311241</v>
      </c>
      <c r="R34" s="589" t="s">
        <v>337</v>
      </c>
    </row>
    <row r="35" spans="1:18" ht="12" customHeight="1" thickBot="1">
      <c r="A35" s="999" t="s">
        <v>1983</v>
      </c>
      <c r="B35" s="1007"/>
      <c r="C35" s="1001">
        <v>400</v>
      </c>
      <c r="D35" s="1001">
        <v>50</v>
      </c>
      <c r="E35" s="1001" t="s">
        <v>717</v>
      </c>
      <c r="F35" s="1687">
        <v>39525</v>
      </c>
      <c r="G35" s="1005">
        <v>138172</v>
      </c>
      <c r="H35" s="1005">
        <v>139044</v>
      </c>
      <c r="I35" s="544">
        <v>95432</v>
      </c>
      <c r="J35" s="546">
        <v>41477</v>
      </c>
      <c r="K35" s="7"/>
      <c r="L35" s="1012" t="s">
        <v>235</v>
      </c>
      <c r="M35" s="1013">
        <v>2180</v>
      </c>
      <c r="N35" s="1014">
        <v>63</v>
      </c>
      <c r="O35" s="1014" t="s">
        <v>2053</v>
      </c>
      <c r="P35" s="590" t="s">
        <v>829</v>
      </c>
      <c r="Q35" s="591" t="s">
        <v>337</v>
      </c>
      <c r="R35" s="591" t="s">
        <v>337</v>
      </c>
    </row>
    <row r="36" spans="1:18" ht="12" customHeight="1">
      <c r="A36" s="999" t="s">
        <v>1985</v>
      </c>
      <c r="B36" s="1007"/>
      <c r="C36" s="1001">
        <v>300</v>
      </c>
      <c r="D36" s="1001">
        <v>32</v>
      </c>
      <c r="E36" s="1001" t="s">
        <v>716</v>
      </c>
      <c r="F36" s="1687">
        <v>39525</v>
      </c>
      <c r="G36" s="1005">
        <v>111172</v>
      </c>
      <c r="H36" s="1005">
        <v>112044</v>
      </c>
      <c r="I36" s="544">
        <v>68432</v>
      </c>
      <c r="J36" s="546">
        <v>41477</v>
      </c>
      <c r="K36" s="7"/>
      <c r="L36" s="995" t="s">
        <v>236</v>
      </c>
      <c r="M36" s="1015">
        <v>450</v>
      </c>
      <c r="N36" s="1015">
        <v>22.5</v>
      </c>
      <c r="O36" s="1015" t="s">
        <v>2054</v>
      </c>
      <c r="P36" s="1016">
        <v>194346</v>
      </c>
      <c r="Q36" s="1017">
        <v>287266</v>
      </c>
      <c r="R36" s="1017">
        <v>287266</v>
      </c>
    </row>
    <row r="37" spans="1:18" ht="12" customHeight="1">
      <c r="A37" s="999" t="s">
        <v>1984</v>
      </c>
      <c r="B37" s="1007"/>
      <c r="C37" s="1001">
        <v>300</v>
      </c>
      <c r="D37" s="1001">
        <v>40</v>
      </c>
      <c r="E37" s="1001" t="s">
        <v>795</v>
      </c>
      <c r="F37" s="1687">
        <v>39525</v>
      </c>
      <c r="G37" s="1005">
        <v>117979</v>
      </c>
      <c r="H37" s="1005">
        <v>118416</v>
      </c>
      <c r="I37" s="544">
        <v>75239</v>
      </c>
      <c r="J37" s="546">
        <v>41477</v>
      </c>
      <c r="K37" s="7"/>
      <c r="L37" s="1002" t="s">
        <v>237</v>
      </c>
      <c r="M37" s="1018">
        <v>400</v>
      </c>
      <c r="N37" s="1018">
        <v>18.5</v>
      </c>
      <c r="O37" s="1018" t="s">
        <v>2055</v>
      </c>
      <c r="P37" s="585">
        <v>194346</v>
      </c>
      <c r="Q37" s="588">
        <v>265646</v>
      </c>
      <c r="R37" s="588">
        <v>265646</v>
      </c>
    </row>
    <row r="38" spans="1:25" ht="12" customHeight="1">
      <c r="A38" s="999" t="s">
        <v>1986</v>
      </c>
      <c r="B38" s="1007"/>
      <c r="C38" s="1001">
        <v>250</v>
      </c>
      <c r="D38" s="1001">
        <v>22.5</v>
      </c>
      <c r="E38" s="1001" t="s">
        <v>799</v>
      </c>
      <c r="F38" s="1687">
        <v>39525</v>
      </c>
      <c r="G38" s="1005">
        <v>82124</v>
      </c>
      <c r="H38" s="1005">
        <v>82561</v>
      </c>
      <c r="I38" s="544">
        <v>39384</v>
      </c>
      <c r="J38" s="546">
        <v>41477</v>
      </c>
      <c r="K38" s="7"/>
      <c r="L38" s="1002" t="s">
        <v>239</v>
      </c>
      <c r="M38" s="1018">
        <v>360</v>
      </c>
      <c r="N38" s="1018">
        <v>16</v>
      </c>
      <c r="O38" s="1018" t="s">
        <v>2056</v>
      </c>
      <c r="P38" s="585">
        <v>194346</v>
      </c>
      <c r="Q38" s="588">
        <v>254664</v>
      </c>
      <c r="R38" s="588">
        <v>254664</v>
      </c>
      <c r="S38" s="978"/>
      <c r="T38" s="1019"/>
      <c r="U38" s="1019"/>
      <c r="V38" s="1019"/>
      <c r="W38" s="1019"/>
      <c r="X38" s="1019"/>
      <c r="Y38" s="4"/>
    </row>
    <row r="39" spans="1:25" ht="12" customHeight="1">
      <c r="A39" s="999" t="s">
        <v>1987</v>
      </c>
      <c r="B39" s="1007"/>
      <c r="C39" s="1001">
        <v>220</v>
      </c>
      <c r="D39" s="1001">
        <v>17</v>
      </c>
      <c r="E39" s="1001" t="s">
        <v>798</v>
      </c>
      <c r="F39" s="1687">
        <v>29525</v>
      </c>
      <c r="G39" s="1005">
        <v>76326</v>
      </c>
      <c r="H39" s="1005">
        <v>76763</v>
      </c>
      <c r="I39" s="544">
        <v>33586</v>
      </c>
      <c r="J39" s="546">
        <v>41477</v>
      </c>
      <c r="K39" s="7"/>
      <c r="L39" s="1002" t="s">
        <v>238</v>
      </c>
      <c r="M39" s="1018">
        <v>800</v>
      </c>
      <c r="N39" s="1018">
        <v>33</v>
      </c>
      <c r="O39" s="1018" t="s">
        <v>2057</v>
      </c>
      <c r="P39" s="585">
        <v>256537</v>
      </c>
      <c r="Q39" s="588">
        <v>456062</v>
      </c>
      <c r="R39" s="588">
        <v>456062</v>
      </c>
      <c r="S39" s="978"/>
      <c r="T39" s="1019"/>
      <c r="U39" s="1019"/>
      <c r="V39" s="1019"/>
      <c r="W39" s="1019"/>
      <c r="X39" s="1019"/>
      <c r="Y39" s="4"/>
    </row>
    <row r="40" spans="1:25" ht="12" customHeight="1" thickBot="1">
      <c r="A40" s="999" t="s">
        <v>1988</v>
      </c>
      <c r="B40" s="1007"/>
      <c r="C40" s="1001">
        <v>400</v>
      </c>
      <c r="D40" s="1001">
        <v>80</v>
      </c>
      <c r="E40" s="1001" t="s">
        <v>731</v>
      </c>
      <c r="F40" s="1687">
        <v>119415</v>
      </c>
      <c r="G40" s="1005">
        <v>290223</v>
      </c>
      <c r="H40" s="1005">
        <v>290223</v>
      </c>
      <c r="I40" s="544"/>
      <c r="J40" s="546"/>
      <c r="K40" s="7"/>
      <c r="L40" s="1020" t="s">
        <v>1968</v>
      </c>
      <c r="M40" s="1021">
        <v>720</v>
      </c>
      <c r="N40" s="1021">
        <v>26.5</v>
      </c>
      <c r="O40" s="1021" t="s">
        <v>2058</v>
      </c>
      <c r="P40" s="1022">
        <v>256537</v>
      </c>
      <c r="Q40" s="589">
        <v>412546</v>
      </c>
      <c r="R40" s="589">
        <v>412546</v>
      </c>
      <c r="S40" s="978"/>
      <c r="T40" s="1019"/>
      <c r="U40" s="1019"/>
      <c r="V40" s="1019"/>
      <c r="W40" s="1019"/>
      <c r="X40" s="1019"/>
      <c r="Y40" s="4"/>
    </row>
    <row r="41" spans="1:25" ht="12" customHeight="1" thickBot="1">
      <c r="A41" s="999" t="s">
        <v>1989</v>
      </c>
      <c r="B41" s="1007"/>
      <c r="C41" s="1001">
        <v>380</v>
      </c>
      <c r="D41" s="1001">
        <v>64</v>
      </c>
      <c r="E41" s="1001" t="s">
        <v>720</v>
      </c>
      <c r="F41" s="1687">
        <v>119415</v>
      </c>
      <c r="G41" s="1005">
        <v>268198</v>
      </c>
      <c r="H41" s="1005">
        <v>268198</v>
      </c>
      <c r="I41" s="544"/>
      <c r="J41" s="546"/>
      <c r="K41" s="7"/>
      <c r="L41" s="1023" t="s">
        <v>468</v>
      </c>
      <c r="M41" s="1024">
        <v>50</v>
      </c>
      <c r="N41" s="1024">
        <v>50</v>
      </c>
      <c r="O41" s="1024" t="s">
        <v>1750</v>
      </c>
      <c r="P41" s="1024"/>
      <c r="Q41" s="1025"/>
      <c r="R41" s="1026">
        <f>102682*1.07</f>
        <v>109869.74</v>
      </c>
      <c r="S41" s="978"/>
      <c r="T41" s="1019"/>
      <c r="U41" s="1019"/>
      <c r="V41" s="1019"/>
      <c r="W41" s="1019"/>
      <c r="X41" s="1019"/>
      <c r="Y41" s="4"/>
    </row>
    <row r="42" spans="1:25" ht="12" customHeight="1" thickBot="1">
      <c r="A42" s="999" t="s">
        <v>1990</v>
      </c>
      <c r="B42" s="1007"/>
      <c r="C42" s="1001">
        <v>360</v>
      </c>
      <c r="D42" s="1001">
        <v>50</v>
      </c>
      <c r="E42" s="1001" t="s">
        <v>717</v>
      </c>
      <c r="F42" s="1687">
        <v>119415</v>
      </c>
      <c r="G42" s="1005">
        <v>229904</v>
      </c>
      <c r="H42" s="1005">
        <v>229904</v>
      </c>
      <c r="I42" s="544"/>
      <c r="J42" s="546"/>
      <c r="K42" s="7"/>
      <c r="L42" s="2247" t="s">
        <v>304</v>
      </c>
      <c r="M42" s="2247"/>
      <c r="N42" s="2247"/>
      <c r="O42" s="2247"/>
      <c r="P42" s="2247"/>
      <c r="Q42" s="2247"/>
      <c r="R42" s="2248"/>
      <c r="S42" s="978"/>
      <c r="T42" s="1019"/>
      <c r="U42" s="1019"/>
      <c r="V42" s="1019"/>
      <c r="W42" s="1019"/>
      <c r="X42" s="1019"/>
      <c r="Y42" s="4"/>
    </row>
    <row r="43" spans="1:25" ht="12" customHeight="1">
      <c r="A43" s="999" t="s">
        <v>1991</v>
      </c>
      <c r="B43" s="1007"/>
      <c r="C43" s="1001">
        <v>800</v>
      </c>
      <c r="D43" s="1001">
        <v>50</v>
      </c>
      <c r="E43" s="1001" t="s">
        <v>721</v>
      </c>
      <c r="F43" s="1687">
        <v>127837</v>
      </c>
      <c r="G43" s="586">
        <v>395458</v>
      </c>
      <c r="H43" s="586">
        <v>395458</v>
      </c>
      <c r="I43" s="544"/>
      <c r="J43" s="546"/>
      <c r="K43" s="7"/>
      <c r="L43" s="995" t="s">
        <v>441</v>
      </c>
      <c r="M43" s="1027"/>
      <c r="N43" s="1027"/>
      <c r="O43" s="1027"/>
      <c r="P43" s="1027"/>
      <c r="Q43" s="1028"/>
      <c r="R43" s="1029">
        <v>181930</v>
      </c>
      <c r="S43" s="978"/>
      <c r="T43" s="1019"/>
      <c r="U43" s="1019"/>
      <c r="V43" s="1019"/>
      <c r="W43" s="1019"/>
      <c r="X43" s="1019"/>
      <c r="Y43" s="4"/>
    </row>
    <row r="44" spans="1:25" ht="12" customHeight="1">
      <c r="A44" s="999" t="s">
        <v>1992</v>
      </c>
      <c r="B44" s="1007"/>
      <c r="C44" s="1001">
        <v>760</v>
      </c>
      <c r="D44" s="1001">
        <v>43</v>
      </c>
      <c r="E44" s="1001" t="s">
        <v>731</v>
      </c>
      <c r="F44" s="1687">
        <v>127837</v>
      </c>
      <c r="G44" s="586">
        <v>342121</v>
      </c>
      <c r="H44" s="586">
        <v>342121</v>
      </c>
      <c r="I44" s="544"/>
      <c r="J44" s="546"/>
      <c r="K44" s="7"/>
      <c r="L44" s="1002" t="s">
        <v>442</v>
      </c>
      <c r="M44" s="1030"/>
      <c r="N44" s="1030"/>
      <c r="O44" s="1030"/>
      <c r="P44" s="1030"/>
      <c r="Q44" s="1031"/>
      <c r="R44" s="1032">
        <v>183900</v>
      </c>
      <c r="S44" s="978"/>
      <c r="T44" s="1019"/>
      <c r="U44" s="1019"/>
      <c r="V44" s="1019"/>
      <c r="W44" s="1019"/>
      <c r="X44" s="1019"/>
      <c r="Y44" s="1033"/>
    </row>
    <row r="45" spans="1:25" ht="12" customHeight="1" thickBot="1">
      <c r="A45" s="999" t="s">
        <v>1993</v>
      </c>
      <c r="B45" s="1007"/>
      <c r="C45" s="585">
        <v>720</v>
      </c>
      <c r="D45" s="585">
        <v>35</v>
      </c>
      <c r="E45" s="585" t="s">
        <v>720</v>
      </c>
      <c r="F45" s="1687">
        <v>127837</v>
      </c>
      <c r="G45" s="586">
        <v>310593.7</v>
      </c>
      <c r="H45" s="586">
        <v>310593.7</v>
      </c>
      <c r="I45" s="544"/>
      <c r="J45" s="546"/>
      <c r="K45" s="7"/>
      <c r="L45" s="1009" t="s">
        <v>443</v>
      </c>
      <c r="M45" s="1034"/>
      <c r="N45" s="1034"/>
      <c r="O45" s="1034"/>
      <c r="P45" s="1034"/>
      <c r="Q45" s="1035"/>
      <c r="R45" s="1036">
        <v>184800</v>
      </c>
      <c r="S45" s="978"/>
      <c r="T45" s="1019"/>
      <c r="U45" s="1019"/>
      <c r="V45" s="1019"/>
      <c r="W45" s="1019"/>
      <c r="X45" s="1019"/>
      <c r="Y45" s="1033"/>
    </row>
    <row r="46" spans="1:25" ht="12" customHeight="1" thickBot="1">
      <c r="A46" s="999" t="s">
        <v>1994</v>
      </c>
      <c r="B46" s="1007"/>
      <c r="C46" s="585">
        <v>530</v>
      </c>
      <c r="D46" s="585">
        <v>22</v>
      </c>
      <c r="E46" s="585" t="s">
        <v>793</v>
      </c>
      <c r="F46" s="1687">
        <v>127837</v>
      </c>
      <c r="G46" s="586">
        <v>276619</v>
      </c>
      <c r="H46" s="586">
        <v>231128</v>
      </c>
      <c r="I46" s="544"/>
      <c r="J46" s="546"/>
      <c r="K46" s="7"/>
      <c r="L46" s="2242" t="s">
        <v>240</v>
      </c>
      <c r="M46" s="2242"/>
      <c r="N46" s="2242"/>
      <c r="O46" s="2242"/>
      <c r="P46" s="2242"/>
      <c r="Q46" s="2242"/>
      <c r="R46" s="2243"/>
      <c r="S46" s="978"/>
      <c r="T46" s="1019"/>
      <c r="U46" s="1019"/>
      <c r="V46" s="1019"/>
      <c r="W46" s="1019"/>
      <c r="X46" s="1019"/>
      <c r="Y46" s="1033"/>
    </row>
    <row r="47" spans="1:25" ht="12" customHeight="1" thickBot="1">
      <c r="A47" s="1037" t="s">
        <v>789</v>
      </c>
      <c r="B47" s="1038"/>
      <c r="C47" s="1039">
        <v>510</v>
      </c>
      <c r="D47" s="1039">
        <v>18</v>
      </c>
      <c r="E47" s="1039" t="s">
        <v>792</v>
      </c>
      <c r="F47" s="1688">
        <v>127837</v>
      </c>
      <c r="G47" s="1040">
        <v>260352</v>
      </c>
      <c r="H47" s="1040">
        <v>213349</v>
      </c>
      <c r="I47" s="544"/>
      <c r="J47" s="546"/>
      <c r="K47" s="7"/>
      <c r="L47" s="1041" t="s">
        <v>1729</v>
      </c>
      <c r="M47" s="1042" t="s">
        <v>185</v>
      </c>
      <c r="N47" s="1024" t="s">
        <v>174</v>
      </c>
      <c r="O47" s="1024" t="s">
        <v>175</v>
      </c>
      <c r="P47" s="1043" t="s">
        <v>509</v>
      </c>
      <c r="Q47" s="1044"/>
      <c r="R47" s="1045" t="s">
        <v>184</v>
      </c>
      <c r="S47" s="978"/>
      <c r="T47" s="1019"/>
      <c r="U47" s="1019"/>
      <c r="V47" s="1019"/>
      <c r="W47" s="1019"/>
      <c r="X47" s="1019"/>
      <c r="Y47" s="1033"/>
    </row>
    <row r="48" spans="1:25" ht="12" customHeight="1">
      <c r="A48" s="2252" t="s">
        <v>420</v>
      </c>
      <c r="B48" s="2252"/>
      <c r="C48" s="2252"/>
      <c r="D48" s="2252"/>
      <c r="E48" s="2252"/>
      <c r="F48" s="2252"/>
      <c r="G48" s="2252"/>
      <c r="H48" s="2252"/>
      <c r="I48" s="20"/>
      <c r="J48" s="20"/>
      <c r="K48" s="7"/>
      <c r="L48" s="1046" t="s">
        <v>600</v>
      </c>
      <c r="M48" s="1047">
        <v>12.5</v>
      </c>
      <c r="N48" s="1047">
        <v>12.5</v>
      </c>
      <c r="O48" s="1048" t="s">
        <v>479</v>
      </c>
      <c r="P48" s="1049">
        <v>28718</v>
      </c>
      <c r="Q48" s="1050">
        <v>32858</v>
      </c>
      <c r="R48" s="1051">
        <v>33158</v>
      </c>
      <c r="S48" s="978"/>
      <c r="T48" s="1019"/>
      <c r="U48" s="1019"/>
      <c r="V48" s="1019"/>
      <c r="W48" s="1019"/>
      <c r="X48" s="978"/>
      <c r="Y48" s="1033"/>
    </row>
    <row r="49" spans="1:25" ht="12" customHeight="1" thickBot="1">
      <c r="A49" s="2253"/>
      <c r="B49" s="2253"/>
      <c r="C49" s="2253"/>
      <c r="D49" s="2253"/>
      <c r="E49" s="2253"/>
      <c r="F49" s="2253"/>
      <c r="G49" s="2253"/>
      <c r="H49" s="2253"/>
      <c r="I49" s="20"/>
      <c r="J49" s="20"/>
      <c r="K49" s="7"/>
      <c r="L49" s="1052" t="s">
        <v>241</v>
      </c>
      <c r="M49" s="1018">
        <v>63</v>
      </c>
      <c r="N49" s="1053">
        <v>22.5</v>
      </c>
      <c r="O49" s="1054" t="s">
        <v>1753</v>
      </c>
      <c r="P49" s="1055">
        <v>61780</v>
      </c>
      <c r="Q49" s="1056">
        <v>80157</v>
      </c>
      <c r="R49" s="588">
        <v>80157</v>
      </c>
      <c r="S49" s="978"/>
      <c r="T49" s="1019"/>
      <c r="U49" s="1019"/>
      <c r="V49" s="1019"/>
      <c r="W49" s="1019"/>
      <c r="X49" s="978"/>
      <c r="Y49" s="1033"/>
    </row>
    <row r="50" spans="1:25" ht="12" customHeight="1">
      <c r="A50" s="992" t="s">
        <v>413</v>
      </c>
      <c r="B50" s="1057"/>
      <c r="C50" s="994">
        <v>16</v>
      </c>
      <c r="D50" s="994" t="s">
        <v>414</v>
      </c>
      <c r="E50" s="994">
        <v>3</v>
      </c>
      <c r="F50" s="994">
        <v>3000</v>
      </c>
      <c r="G50" s="994">
        <v>30582</v>
      </c>
      <c r="H50" s="1058">
        <v>30400</v>
      </c>
      <c r="I50" s="1059"/>
      <c r="J50" s="1059"/>
      <c r="K50" s="7"/>
      <c r="L50" s="1052" t="s">
        <v>349</v>
      </c>
      <c r="M50" s="1018">
        <v>12.5</v>
      </c>
      <c r="N50" s="1018">
        <v>12.5</v>
      </c>
      <c r="O50" s="1054" t="s">
        <v>479</v>
      </c>
      <c r="P50" s="1055">
        <v>28718</v>
      </c>
      <c r="Q50" s="1060">
        <v>32858</v>
      </c>
      <c r="R50" s="1061">
        <v>33158</v>
      </c>
      <c r="S50" s="978"/>
      <c r="T50" s="1019"/>
      <c r="U50" s="1019"/>
      <c r="V50" s="1019"/>
      <c r="W50" s="1019"/>
      <c r="X50" s="978"/>
      <c r="Y50" s="1033"/>
    </row>
    <row r="51" spans="1:18" ht="12" customHeight="1">
      <c r="A51" s="999" t="s">
        <v>469</v>
      </c>
      <c r="B51" s="1062"/>
      <c r="C51" s="1001">
        <v>25</v>
      </c>
      <c r="D51" s="1001">
        <v>20</v>
      </c>
      <c r="E51" s="1001">
        <v>3.5</v>
      </c>
      <c r="F51" s="1001">
        <v>3000</v>
      </c>
      <c r="G51" s="1001"/>
      <c r="H51" s="1063">
        <v>32500</v>
      </c>
      <c r="I51" s="1059"/>
      <c r="J51" s="1059"/>
      <c r="K51" s="7"/>
      <c r="L51" s="1052" t="s">
        <v>242</v>
      </c>
      <c r="M51" s="1018">
        <v>40</v>
      </c>
      <c r="N51" s="1018">
        <v>16</v>
      </c>
      <c r="O51" s="1054" t="s">
        <v>481</v>
      </c>
      <c r="P51" s="1055">
        <v>49458</v>
      </c>
      <c r="Q51" s="1060">
        <v>57853</v>
      </c>
      <c r="R51" s="1061">
        <v>57020</v>
      </c>
    </row>
    <row r="52" spans="1:18" ht="12" customHeight="1">
      <c r="A52" s="999" t="s">
        <v>415</v>
      </c>
      <c r="B52" s="1062"/>
      <c r="C52" s="1001">
        <v>50</v>
      </c>
      <c r="D52" s="1001">
        <v>10</v>
      </c>
      <c r="E52" s="1001">
        <v>3</v>
      </c>
      <c r="F52" s="1001">
        <v>3000</v>
      </c>
      <c r="G52" s="1001">
        <v>12834</v>
      </c>
      <c r="H52" s="1063">
        <v>19812</v>
      </c>
      <c r="I52" s="1059"/>
      <c r="J52" s="1059"/>
      <c r="K52" s="8"/>
      <c r="L52" s="1052" t="s">
        <v>246</v>
      </c>
      <c r="M52" s="1018">
        <v>100</v>
      </c>
      <c r="N52" s="1018">
        <v>31.5</v>
      </c>
      <c r="O52" s="1054" t="s">
        <v>1750</v>
      </c>
      <c r="P52" s="1055">
        <v>110500</v>
      </c>
      <c r="Q52" s="1056">
        <v>141113</v>
      </c>
      <c r="R52" s="588">
        <v>141113</v>
      </c>
    </row>
    <row r="53" spans="1:18" ht="12" customHeight="1">
      <c r="A53" s="999" t="s">
        <v>466</v>
      </c>
      <c r="B53" s="1062"/>
      <c r="C53" s="1001">
        <v>50</v>
      </c>
      <c r="D53" s="1001">
        <v>25</v>
      </c>
      <c r="E53" s="1001">
        <v>7.5</v>
      </c>
      <c r="F53" s="1001">
        <v>3000</v>
      </c>
      <c r="G53" s="1001"/>
      <c r="H53" s="1063">
        <v>49580</v>
      </c>
      <c r="I53" s="1059"/>
      <c r="J53" s="1059"/>
      <c r="K53" s="8"/>
      <c r="L53" s="1064" t="s">
        <v>1762</v>
      </c>
      <c r="M53" s="1018">
        <v>160</v>
      </c>
      <c r="N53" s="1018">
        <v>40</v>
      </c>
      <c r="O53" s="1054" t="s">
        <v>791</v>
      </c>
      <c r="P53" s="1055">
        <v>118875</v>
      </c>
      <c r="Q53" s="1056">
        <v>171649</v>
      </c>
      <c r="R53" s="588">
        <v>171649</v>
      </c>
    </row>
    <row r="54" spans="1:18" ht="12" customHeight="1">
      <c r="A54" s="999" t="s">
        <v>719</v>
      </c>
      <c r="B54" s="1062"/>
      <c r="C54" s="1001">
        <v>160</v>
      </c>
      <c r="D54" s="1001">
        <v>10</v>
      </c>
      <c r="E54" s="1001">
        <v>12</v>
      </c>
      <c r="F54" s="1001">
        <v>3000</v>
      </c>
      <c r="G54" s="1001"/>
      <c r="H54" s="1063">
        <v>116875</v>
      </c>
      <c r="I54" s="1059"/>
      <c r="J54" s="1059"/>
      <c r="K54" s="8"/>
      <c r="L54" s="1064" t="s">
        <v>1760</v>
      </c>
      <c r="M54" s="1018">
        <v>250</v>
      </c>
      <c r="N54" s="1018">
        <v>28</v>
      </c>
      <c r="O54" s="1054" t="s">
        <v>791</v>
      </c>
      <c r="P54" s="1055">
        <v>118625</v>
      </c>
      <c r="Q54" s="1056">
        <v>171399</v>
      </c>
      <c r="R54" s="588">
        <v>171399</v>
      </c>
    </row>
    <row r="55" spans="1:18" ht="12" customHeight="1">
      <c r="A55" s="999" t="s">
        <v>416</v>
      </c>
      <c r="B55" s="1062"/>
      <c r="C55" s="1001">
        <v>10</v>
      </c>
      <c r="D55" s="1001">
        <v>10</v>
      </c>
      <c r="E55" s="1001">
        <v>1.1</v>
      </c>
      <c r="F55" s="1001">
        <v>3000</v>
      </c>
      <c r="G55" s="1001">
        <v>12446</v>
      </c>
      <c r="H55" s="1063">
        <v>20240</v>
      </c>
      <c r="I55" s="1059"/>
      <c r="J55" s="1059"/>
      <c r="K55" s="8"/>
      <c r="L55" s="1064" t="s">
        <v>1761</v>
      </c>
      <c r="M55" s="1018">
        <v>63</v>
      </c>
      <c r="N55" s="1053">
        <v>22.5</v>
      </c>
      <c r="O55" s="1054" t="s">
        <v>1751</v>
      </c>
      <c r="P55" s="1055">
        <v>52020</v>
      </c>
      <c r="Q55" s="1056">
        <v>64095</v>
      </c>
      <c r="R55" s="588">
        <v>64095</v>
      </c>
    </row>
    <row r="56" spans="1:18" ht="12" customHeight="1" thickBot="1">
      <c r="A56" s="1065" t="s">
        <v>417</v>
      </c>
      <c r="B56" s="1066"/>
      <c r="C56" s="1001">
        <v>20</v>
      </c>
      <c r="D56" s="1001">
        <v>22</v>
      </c>
      <c r="E56" s="1001">
        <v>3</v>
      </c>
      <c r="F56" s="1001">
        <v>3000</v>
      </c>
      <c r="G56" s="1001">
        <v>14644</v>
      </c>
      <c r="H56" s="1063">
        <v>22656</v>
      </c>
      <c r="I56" s="1059"/>
      <c r="J56" s="1059"/>
      <c r="K56" s="8"/>
      <c r="L56" s="1067" t="s">
        <v>350</v>
      </c>
      <c r="M56" s="1068">
        <v>63</v>
      </c>
      <c r="N56" s="1068">
        <v>22.5</v>
      </c>
      <c r="O56" s="1069" t="s">
        <v>1753</v>
      </c>
      <c r="P56" s="1070">
        <v>50434</v>
      </c>
      <c r="Q56" s="1071">
        <v>68811</v>
      </c>
      <c r="R56" s="1072">
        <v>68811</v>
      </c>
    </row>
    <row r="57" spans="1:18" ht="12" customHeight="1" thickBot="1">
      <c r="A57" s="1065" t="s">
        <v>418</v>
      </c>
      <c r="B57" s="1066"/>
      <c r="C57" s="1001">
        <v>40</v>
      </c>
      <c r="D57" s="1001">
        <v>25</v>
      </c>
      <c r="E57" s="1001">
        <v>7</v>
      </c>
      <c r="F57" s="1001">
        <v>3000</v>
      </c>
      <c r="G57" s="1001"/>
      <c r="H57" s="1063">
        <v>44700</v>
      </c>
      <c r="I57" s="1059"/>
      <c r="J57" s="1059"/>
      <c r="K57" s="7"/>
      <c r="L57" s="2257" t="s">
        <v>480</v>
      </c>
      <c r="M57" s="2256"/>
      <c r="N57" s="2256"/>
      <c r="O57" s="2256"/>
      <c r="P57" s="2256"/>
      <c r="Q57" s="2256"/>
      <c r="R57" s="2258"/>
    </row>
    <row r="58" spans="1:18" ht="12" customHeight="1">
      <c r="A58" s="1065" t="s">
        <v>419</v>
      </c>
      <c r="B58" s="1066"/>
      <c r="C58" s="1001">
        <v>100</v>
      </c>
      <c r="D58" s="1001">
        <v>20</v>
      </c>
      <c r="E58" s="1001">
        <v>11</v>
      </c>
      <c r="F58" s="1001">
        <v>3000</v>
      </c>
      <c r="G58" s="1001"/>
      <c r="H58" s="1063">
        <v>56900</v>
      </c>
      <c r="I58" s="1059"/>
      <c r="J58" s="1059"/>
      <c r="K58" s="7"/>
      <c r="L58" s="1073" t="s">
        <v>351</v>
      </c>
      <c r="M58" s="583">
        <v>0.9</v>
      </c>
      <c r="N58" s="583">
        <v>3</v>
      </c>
      <c r="O58" s="1074">
        <v>0.09</v>
      </c>
      <c r="P58" s="1075"/>
      <c r="Q58" s="1076"/>
      <c r="R58" s="1077">
        <v>4081</v>
      </c>
    </row>
    <row r="59" spans="1:18" ht="12" customHeight="1" thickBot="1">
      <c r="A59" s="1078" t="s">
        <v>470</v>
      </c>
      <c r="B59" s="1079"/>
      <c r="C59" s="1080">
        <v>130</v>
      </c>
      <c r="D59" s="1080">
        <v>22</v>
      </c>
      <c r="E59" s="1080"/>
      <c r="F59" s="1080">
        <v>3000</v>
      </c>
      <c r="G59" s="1080"/>
      <c r="H59" s="1081">
        <v>165000</v>
      </c>
      <c r="I59" s="1059"/>
      <c r="J59" s="1059"/>
      <c r="K59" s="7"/>
      <c r="L59" s="1082" t="s">
        <v>352</v>
      </c>
      <c r="M59" s="585">
        <v>1.8</v>
      </c>
      <c r="N59" s="585">
        <v>3</v>
      </c>
      <c r="O59" s="1083">
        <v>0.2</v>
      </c>
      <c r="P59" s="1062"/>
      <c r="Q59" s="1084">
        <f aca="true" t="shared" si="0" ref="Q59:Q87">R58/1.1</f>
        <v>3709.9999999999995</v>
      </c>
      <c r="R59" s="1085">
        <v>5386</v>
      </c>
    </row>
    <row r="60" spans="1:18" ht="12" customHeight="1" thickBot="1">
      <c r="A60" s="2254" t="s">
        <v>245</v>
      </c>
      <c r="B60" s="2254"/>
      <c r="C60" s="2254"/>
      <c r="D60" s="2254"/>
      <c r="E60" s="2254"/>
      <c r="F60" s="2254"/>
      <c r="G60" s="2254"/>
      <c r="H60" s="2254"/>
      <c r="I60" s="10"/>
      <c r="J60" s="10"/>
      <c r="K60" s="7"/>
      <c r="L60" s="1082" t="s">
        <v>353</v>
      </c>
      <c r="M60" s="585">
        <v>2.4</v>
      </c>
      <c r="N60" s="585">
        <v>5</v>
      </c>
      <c r="O60" s="1083">
        <v>0.35</v>
      </c>
      <c r="P60" s="1062"/>
      <c r="Q60" s="1084">
        <f t="shared" si="0"/>
        <v>4896.363636363636</v>
      </c>
      <c r="R60" s="1085">
        <v>6705</v>
      </c>
    </row>
    <row r="61" spans="1:18" ht="12" customHeight="1">
      <c r="A61" s="1086" t="s">
        <v>1848</v>
      </c>
      <c r="B61" s="1087"/>
      <c r="C61" s="994">
        <v>6</v>
      </c>
      <c r="D61" s="994">
        <v>10</v>
      </c>
      <c r="E61" s="994"/>
      <c r="F61" s="994"/>
      <c r="G61" s="1088">
        <v>3936</v>
      </c>
      <c r="H61" s="998">
        <v>5274</v>
      </c>
      <c r="I61" s="1059"/>
      <c r="J61" s="1059"/>
      <c r="K61" s="7"/>
      <c r="L61" s="1082" t="s">
        <v>354</v>
      </c>
      <c r="M61" s="585">
        <v>6</v>
      </c>
      <c r="N61" s="585">
        <v>6</v>
      </c>
      <c r="O61" s="1083">
        <v>0.6</v>
      </c>
      <c r="P61" s="1062"/>
      <c r="Q61" s="1084">
        <f t="shared" si="0"/>
        <v>6095.454545454545</v>
      </c>
      <c r="R61" s="1085">
        <v>29237</v>
      </c>
    </row>
    <row r="62" spans="1:18" ht="12" customHeight="1" thickBot="1">
      <c r="A62" s="1089" t="s">
        <v>1971</v>
      </c>
      <c r="B62" s="1090"/>
      <c r="C62" s="1091">
        <v>10</v>
      </c>
      <c r="D62" s="1091">
        <v>10</v>
      </c>
      <c r="E62" s="1091"/>
      <c r="F62" s="1091"/>
      <c r="G62" s="1092"/>
      <c r="H62" s="1017">
        <v>6457</v>
      </c>
      <c r="I62" s="1059"/>
      <c r="J62" s="1059"/>
      <c r="K62" s="7"/>
      <c r="L62" s="1093" t="s">
        <v>357</v>
      </c>
      <c r="M62" s="1039">
        <v>10.5</v>
      </c>
      <c r="N62" s="1039">
        <v>16</v>
      </c>
      <c r="O62" s="1094">
        <v>1.5</v>
      </c>
      <c r="P62" s="1095"/>
      <c r="Q62" s="1096">
        <f t="shared" si="0"/>
        <v>26579.090909090908</v>
      </c>
      <c r="R62" s="1097">
        <v>35592</v>
      </c>
    </row>
    <row r="63" spans="1:18" ht="12" customHeight="1">
      <c r="A63" s="1065" t="s">
        <v>1972</v>
      </c>
      <c r="B63" s="1098"/>
      <c r="C63" s="1001">
        <v>10</v>
      </c>
      <c r="D63" s="1001">
        <v>10</v>
      </c>
      <c r="E63" s="1001">
        <v>0.95</v>
      </c>
      <c r="F63" s="1001">
        <v>3000</v>
      </c>
      <c r="G63" s="1099">
        <v>3936</v>
      </c>
      <c r="H63" s="588">
        <v>6093</v>
      </c>
      <c r="I63" s="1059"/>
      <c r="J63" s="1059"/>
      <c r="K63" s="7"/>
      <c r="L63" s="1100" t="s">
        <v>593</v>
      </c>
      <c r="M63" s="1016">
        <v>3</v>
      </c>
      <c r="N63" s="1016">
        <v>25</v>
      </c>
      <c r="O63" s="1101" t="s">
        <v>382</v>
      </c>
      <c r="P63" s="1102"/>
      <c r="Q63" s="1103">
        <f t="shared" si="0"/>
        <v>32356.363636363632</v>
      </c>
      <c r="R63" s="1104">
        <v>21954</v>
      </c>
    </row>
    <row r="64" spans="1:18" ht="12" customHeight="1">
      <c r="A64" s="1089" t="s">
        <v>1976</v>
      </c>
      <c r="B64" s="1090"/>
      <c r="C64" s="1001">
        <v>16</v>
      </c>
      <c r="D64" s="1001">
        <v>16</v>
      </c>
      <c r="E64" s="1001"/>
      <c r="F64" s="1001"/>
      <c r="G64" s="1099"/>
      <c r="H64" s="588">
        <v>7585</v>
      </c>
      <c r="I64" s="1059"/>
      <c r="J64" s="1059"/>
      <c r="K64" s="7"/>
      <c r="L64" s="1082" t="s">
        <v>594</v>
      </c>
      <c r="M64" s="585">
        <v>2</v>
      </c>
      <c r="N64" s="585">
        <v>25</v>
      </c>
      <c r="O64" s="1083">
        <v>1.1</v>
      </c>
      <c r="P64" s="1062"/>
      <c r="Q64" s="1084">
        <f t="shared" si="0"/>
        <v>19958.181818181816</v>
      </c>
      <c r="R64" s="1105">
        <v>24329</v>
      </c>
    </row>
    <row r="65" spans="1:18" ht="12" customHeight="1">
      <c r="A65" s="1065" t="s">
        <v>1977</v>
      </c>
      <c r="B65" s="1098"/>
      <c r="C65" s="1001">
        <v>16</v>
      </c>
      <c r="D65" s="1001">
        <v>16</v>
      </c>
      <c r="E65" s="1001" t="s">
        <v>1960</v>
      </c>
      <c r="F65" s="1001">
        <v>3000</v>
      </c>
      <c r="G65" s="1099">
        <v>4098</v>
      </c>
      <c r="H65" s="588">
        <v>6953</v>
      </c>
      <c r="I65" s="1059"/>
      <c r="J65" s="1059"/>
      <c r="K65" s="7"/>
      <c r="L65" s="1082" t="s">
        <v>358</v>
      </c>
      <c r="M65" s="585">
        <v>12.5</v>
      </c>
      <c r="N65" s="585">
        <v>20</v>
      </c>
      <c r="O65" s="1083" t="s">
        <v>56</v>
      </c>
      <c r="P65" s="1062"/>
      <c r="Q65" s="1084">
        <f t="shared" si="0"/>
        <v>22117.272727272724</v>
      </c>
      <c r="R65" s="1105">
        <v>27712</v>
      </c>
    </row>
    <row r="66" spans="1:18" ht="12" customHeight="1">
      <c r="A66" s="1065" t="s">
        <v>1973</v>
      </c>
      <c r="B66" s="1098"/>
      <c r="C66" s="1001">
        <v>25</v>
      </c>
      <c r="D66" s="1001">
        <v>20</v>
      </c>
      <c r="E66" s="1001">
        <v>3</v>
      </c>
      <c r="F66" s="1001">
        <v>3000</v>
      </c>
      <c r="G66" s="1099">
        <v>7164</v>
      </c>
      <c r="H66" s="588">
        <v>11017</v>
      </c>
      <c r="I66" s="1059"/>
      <c r="J66" s="1059"/>
      <c r="K66" s="7"/>
      <c r="L66" s="1082" t="s">
        <v>359</v>
      </c>
      <c r="M66" s="585">
        <v>8</v>
      </c>
      <c r="N66" s="585">
        <v>40</v>
      </c>
      <c r="O66" s="1083" t="s">
        <v>383</v>
      </c>
      <c r="P66" s="1062"/>
      <c r="Q66" s="1084">
        <f t="shared" si="0"/>
        <v>25192.727272727272</v>
      </c>
      <c r="R66" s="1106" t="s">
        <v>337</v>
      </c>
    </row>
    <row r="67" spans="1:18" ht="12" customHeight="1">
      <c r="A67" s="1065" t="s">
        <v>1763</v>
      </c>
      <c r="B67" s="1062"/>
      <c r="C67" s="1001">
        <v>25</v>
      </c>
      <c r="D67" s="1001">
        <v>20</v>
      </c>
      <c r="E67" s="1001">
        <v>2.2</v>
      </c>
      <c r="F67" s="1001">
        <v>3000</v>
      </c>
      <c r="G67" s="1099"/>
      <c r="H67" s="588">
        <v>13644</v>
      </c>
      <c r="I67" s="1059"/>
      <c r="J67" s="1059"/>
      <c r="K67" s="7"/>
      <c r="L67" s="1082" t="s">
        <v>360</v>
      </c>
      <c r="M67" s="585">
        <v>12.5</v>
      </c>
      <c r="N67" s="585">
        <v>50</v>
      </c>
      <c r="O67" s="1083" t="s">
        <v>483</v>
      </c>
      <c r="P67" s="1062"/>
      <c r="Q67" s="1084" t="e">
        <f t="shared" si="0"/>
        <v>#VALUE!</v>
      </c>
      <c r="R67" s="1105">
        <v>246460</v>
      </c>
    </row>
    <row r="68" spans="1:18" ht="12" customHeight="1">
      <c r="A68" s="1065" t="s">
        <v>1974</v>
      </c>
      <c r="B68" s="1098"/>
      <c r="C68" s="1001">
        <v>40</v>
      </c>
      <c r="D68" s="1001">
        <v>25</v>
      </c>
      <c r="E68" s="1001" t="s">
        <v>1961</v>
      </c>
      <c r="F68" s="1001">
        <v>3000</v>
      </c>
      <c r="G68" s="1099">
        <v>9654</v>
      </c>
      <c r="H68" s="588">
        <v>17067</v>
      </c>
      <c r="I68" s="1059"/>
      <c r="J68" s="1059"/>
      <c r="K68" s="7">
        <v>3538</v>
      </c>
      <c r="L68" s="1082" t="s">
        <v>361</v>
      </c>
      <c r="M68" s="585">
        <v>25</v>
      </c>
      <c r="N68" s="585">
        <v>20</v>
      </c>
      <c r="O68" s="1083" t="s">
        <v>55</v>
      </c>
      <c r="P68" s="1062"/>
      <c r="Q68" s="1084">
        <f t="shared" si="0"/>
        <v>224054.54545454544</v>
      </c>
      <c r="R68" s="1105">
        <v>29368</v>
      </c>
    </row>
    <row r="69" spans="1:18" ht="12" customHeight="1">
      <c r="A69" s="1065" t="s">
        <v>1764</v>
      </c>
      <c r="B69" s="1062"/>
      <c r="C69" s="1001">
        <v>40</v>
      </c>
      <c r="D69" s="1001">
        <v>25</v>
      </c>
      <c r="E69" s="1001">
        <v>4</v>
      </c>
      <c r="F69" s="1001">
        <v>3000</v>
      </c>
      <c r="G69" s="1099"/>
      <c r="H69" s="588">
        <v>21738</v>
      </c>
      <c r="I69" s="1059"/>
      <c r="J69" s="1059"/>
      <c r="K69" s="7"/>
      <c r="L69" s="1082" t="s">
        <v>595</v>
      </c>
      <c r="M69" s="585">
        <v>25</v>
      </c>
      <c r="N69" s="585">
        <v>32</v>
      </c>
      <c r="O69" s="1083" t="s">
        <v>484</v>
      </c>
      <c r="P69" s="1062"/>
      <c r="Q69" s="1084">
        <f t="shared" si="0"/>
        <v>26698.181818181816</v>
      </c>
      <c r="R69" s="1105">
        <v>50818</v>
      </c>
    </row>
    <row r="70" spans="1:18" ht="12" customHeight="1">
      <c r="A70" s="1065" t="s">
        <v>1975</v>
      </c>
      <c r="B70" s="1098"/>
      <c r="C70" s="1001">
        <v>53</v>
      </c>
      <c r="D70" s="1001">
        <v>10</v>
      </c>
      <c r="E70" s="1001">
        <v>4</v>
      </c>
      <c r="F70" s="1001">
        <v>3000</v>
      </c>
      <c r="G70" s="1099">
        <v>11604</v>
      </c>
      <c r="H70" s="588">
        <v>16910</v>
      </c>
      <c r="I70" s="1059"/>
      <c r="J70" s="1059"/>
      <c r="K70" s="7"/>
      <c r="L70" s="1082" t="s">
        <v>362</v>
      </c>
      <c r="M70" s="585">
        <v>25</v>
      </c>
      <c r="N70" s="585">
        <v>32</v>
      </c>
      <c r="O70" s="1083">
        <v>5.5</v>
      </c>
      <c r="P70" s="1062"/>
      <c r="Q70" s="1084">
        <f t="shared" si="0"/>
        <v>46198.181818181816</v>
      </c>
      <c r="R70" s="1106" t="s">
        <v>337</v>
      </c>
    </row>
    <row r="71" spans="1:18" ht="12" customHeight="1">
      <c r="A71" s="1065" t="s">
        <v>713</v>
      </c>
      <c r="B71" s="1062"/>
      <c r="C71" s="1001">
        <v>50</v>
      </c>
      <c r="D71" s="1001">
        <v>25</v>
      </c>
      <c r="E71" s="1001">
        <v>5.5</v>
      </c>
      <c r="F71" s="1001">
        <v>3000</v>
      </c>
      <c r="G71" s="1099"/>
      <c r="H71" s="588">
        <v>18714</v>
      </c>
      <c r="I71" s="1059"/>
      <c r="J71" s="1059"/>
      <c r="K71" s="7"/>
      <c r="L71" s="1082" t="s">
        <v>363</v>
      </c>
      <c r="M71" s="585">
        <v>50</v>
      </c>
      <c r="N71" s="585">
        <v>32</v>
      </c>
      <c r="O71" s="1083" t="s">
        <v>760</v>
      </c>
      <c r="P71" s="1062"/>
      <c r="Q71" s="1084" t="e">
        <f t="shared" si="0"/>
        <v>#VALUE!</v>
      </c>
      <c r="R71" s="1105">
        <v>54345</v>
      </c>
    </row>
    <row r="72" spans="1:18" ht="12" customHeight="1" thickBot="1">
      <c r="A72" s="1078" t="s">
        <v>714</v>
      </c>
      <c r="B72" s="1095"/>
      <c r="C72" s="1080">
        <v>100</v>
      </c>
      <c r="D72" s="1080">
        <v>25</v>
      </c>
      <c r="E72" s="1080">
        <v>5.5</v>
      </c>
      <c r="F72" s="1080">
        <v>3000</v>
      </c>
      <c r="G72" s="1107">
        <v>39060</v>
      </c>
      <c r="H72" s="1072">
        <v>23969</v>
      </c>
      <c r="I72" s="1059"/>
      <c r="J72" s="1059"/>
      <c r="K72" s="7"/>
      <c r="L72" s="1082" t="s">
        <v>364</v>
      </c>
      <c r="M72" s="585">
        <v>100</v>
      </c>
      <c r="N72" s="585">
        <v>32</v>
      </c>
      <c r="O72" s="1083" t="s">
        <v>759</v>
      </c>
      <c r="P72" s="1062"/>
      <c r="Q72" s="1084">
        <f t="shared" si="0"/>
        <v>49404.54545454545</v>
      </c>
      <c r="R72" s="1105">
        <v>66582</v>
      </c>
    </row>
    <row r="73" spans="1:18" ht="12" customHeight="1">
      <c r="A73" s="1108" t="s">
        <v>1970</v>
      </c>
      <c r="B73" s="1109"/>
      <c r="C73" s="1091"/>
      <c r="D73" s="1091"/>
      <c r="E73" s="1091"/>
      <c r="F73" s="1091"/>
      <c r="G73" s="1092"/>
      <c r="H73" s="1110">
        <v>7274</v>
      </c>
      <c r="I73" s="1059"/>
      <c r="J73" s="1059"/>
      <c r="K73" s="7"/>
      <c r="L73" s="1082" t="s">
        <v>596</v>
      </c>
      <c r="M73" s="585">
        <v>100</v>
      </c>
      <c r="N73" s="585">
        <v>50</v>
      </c>
      <c r="O73" s="1083" t="s">
        <v>487</v>
      </c>
      <c r="P73" s="1062"/>
      <c r="Q73" s="1084">
        <f t="shared" si="0"/>
        <v>60529.090909090904</v>
      </c>
      <c r="R73" s="1105">
        <v>109841</v>
      </c>
    </row>
    <row r="74" spans="1:18" ht="12" customHeight="1">
      <c r="A74" s="999" t="s">
        <v>249</v>
      </c>
      <c r="B74" s="1062"/>
      <c r="C74" s="1001">
        <v>60</v>
      </c>
      <c r="D74" s="1001">
        <v>13</v>
      </c>
      <c r="E74" s="1001">
        <v>5.5</v>
      </c>
      <c r="F74" s="1001">
        <v>3000</v>
      </c>
      <c r="G74" s="1099">
        <v>16988</v>
      </c>
      <c r="H74" s="542">
        <v>17212</v>
      </c>
      <c r="I74" s="18"/>
      <c r="J74" s="18"/>
      <c r="K74" s="7"/>
      <c r="L74" s="1082" t="s">
        <v>365</v>
      </c>
      <c r="M74" s="585">
        <v>200</v>
      </c>
      <c r="N74" s="585">
        <v>32</v>
      </c>
      <c r="O74" s="1083" t="s">
        <v>763</v>
      </c>
      <c r="P74" s="1062"/>
      <c r="Q74" s="1084">
        <f t="shared" si="0"/>
        <v>99855.45454545454</v>
      </c>
      <c r="R74" s="1105">
        <v>212557</v>
      </c>
    </row>
    <row r="75" spans="1:19" ht="12" customHeight="1">
      <c r="A75" s="999" t="s">
        <v>250</v>
      </c>
      <c r="B75" s="1062"/>
      <c r="C75" s="1001">
        <v>130</v>
      </c>
      <c r="D75" s="1001">
        <v>11.5</v>
      </c>
      <c r="E75" s="1001">
        <v>7.5</v>
      </c>
      <c r="F75" s="1001">
        <v>3000</v>
      </c>
      <c r="G75" s="1099">
        <v>17614</v>
      </c>
      <c r="H75" s="542">
        <v>25482</v>
      </c>
      <c r="I75" s="18"/>
      <c r="J75" s="18"/>
      <c r="K75" s="7"/>
      <c r="L75" s="1082" t="s">
        <v>597</v>
      </c>
      <c r="M75" s="585">
        <v>8</v>
      </c>
      <c r="N75" s="585">
        <v>40</v>
      </c>
      <c r="O75" s="1083" t="s">
        <v>483</v>
      </c>
      <c r="P75" s="1062"/>
      <c r="Q75" s="1084">
        <f t="shared" si="0"/>
        <v>193233.63636363635</v>
      </c>
      <c r="R75" s="1105">
        <v>249555</v>
      </c>
      <c r="S75" s="979" t="s">
        <v>465</v>
      </c>
    </row>
    <row r="76" spans="1:18" ht="12" customHeight="1" thickBot="1">
      <c r="A76" s="1037" t="s">
        <v>251</v>
      </c>
      <c r="B76" s="1095"/>
      <c r="C76" s="1080">
        <v>220</v>
      </c>
      <c r="D76" s="1080">
        <v>16</v>
      </c>
      <c r="E76" s="1080">
        <v>15</v>
      </c>
      <c r="F76" s="1080">
        <v>3000</v>
      </c>
      <c r="G76" s="1107">
        <v>38094</v>
      </c>
      <c r="H76" s="543">
        <v>69252</v>
      </c>
      <c r="I76" s="18"/>
      <c r="J76" s="18"/>
      <c r="K76" s="7"/>
      <c r="L76" s="1082" t="s">
        <v>366</v>
      </c>
      <c r="M76" s="585">
        <v>3.15</v>
      </c>
      <c r="N76" s="585">
        <v>15</v>
      </c>
      <c r="O76" s="1083" t="s">
        <v>56</v>
      </c>
      <c r="P76" s="1062"/>
      <c r="Q76" s="1084">
        <f t="shared" si="0"/>
        <v>226868.1818181818</v>
      </c>
      <c r="R76" s="1105">
        <v>47291</v>
      </c>
    </row>
    <row r="77" spans="1:18" ht="12" customHeight="1">
      <c r="A77" s="2255" t="s">
        <v>1931</v>
      </c>
      <c r="B77" s="2255"/>
      <c r="C77" s="2255"/>
      <c r="D77" s="2255"/>
      <c r="E77" s="2255"/>
      <c r="F77" s="2255"/>
      <c r="G77" s="2255"/>
      <c r="H77" s="2255"/>
      <c r="I77" s="10"/>
      <c r="J77" s="10"/>
      <c r="K77" s="7"/>
      <c r="L77" s="1111" t="s">
        <v>369</v>
      </c>
      <c r="M77" s="585">
        <v>6.3</v>
      </c>
      <c r="N77" s="585">
        <v>32</v>
      </c>
      <c r="O77" s="1083" t="s">
        <v>55</v>
      </c>
      <c r="P77" s="1062"/>
      <c r="Q77" s="1084">
        <f t="shared" si="0"/>
        <v>42991.81818181818</v>
      </c>
      <c r="R77" s="1105">
        <v>33258</v>
      </c>
    </row>
    <row r="78" spans="1:18" ht="12" customHeight="1" thickBot="1">
      <c r="A78" s="2256"/>
      <c r="B78" s="2256"/>
      <c r="C78" s="2256"/>
      <c r="D78" s="2256"/>
      <c r="E78" s="2256"/>
      <c r="F78" s="2256"/>
      <c r="G78" s="2256"/>
      <c r="H78" s="2256"/>
      <c r="I78" s="10"/>
      <c r="J78" s="10"/>
      <c r="K78" s="7"/>
      <c r="L78" s="1082" t="s">
        <v>370</v>
      </c>
      <c r="M78" s="585">
        <v>12.5</v>
      </c>
      <c r="N78" s="585">
        <v>32</v>
      </c>
      <c r="O78" s="1083" t="s">
        <v>483</v>
      </c>
      <c r="P78" s="1062"/>
      <c r="Q78" s="1084">
        <f t="shared" si="0"/>
        <v>30234.545454545452</v>
      </c>
      <c r="R78" s="1105">
        <v>39230</v>
      </c>
    </row>
    <row r="79" spans="1:18" ht="12" customHeight="1" thickBot="1">
      <c r="A79" s="986" t="s">
        <v>171</v>
      </c>
      <c r="B79" s="1112" t="s">
        <v>1744</v>
      </c>
      <c r="C79" s="984" t="s">
        <v>185</v>
      </c>
      <c r="D79" s="984" t="s">
        <v>1730</v>
      </c>
      <c r="E79" s="984" t="s">
        <v>1743</v>
      </c>
      <c r="F79" s="1113" t="s">
        <v>1742</v>
      </c>
      <c r="G79" s="987"/>
      <c r="H79" s="985" t="s">
        <v>173</v>
      </c>
      <c r="I79" s="20"/>
      <c r="J79" s="20"/>
      <c r="K79" s="7"/>
      <c r="L79" s="1082" t="s">
        <v>371</v>
      </c>
      <c r="M79" s="585">
        <v>12.5</v>
      </c>
      <c r="N79" s="585">
        <v>50</v>
      </c>
      <c r="O79" s="1083" t="s">
        <v>760</v>
      </c>
      <c r="P79" s="1062"/>
      <c r="Q79" s="1084">
        <f t="shared" si="0"/>
        <v>35663.63636363636</v>
      </c>
      <c r="R79" s="1105">
        <v>62623</v>
      </c>
    </row>
    <row r="80" spans="1:18" ht="12" customHeight="1">
      <c r="A80" s="1114" t="s">
        <v>1731</v>
      </c>
      <c r="B80" s="1115" t="s">
        <v>1739</v>
      </c>
      <c r="C80" s="1091">
        <v>36</v>
      </c>
      <c r="D80" s="1091">
        <v>26</v>
      </c>
      <c r="E80" s="1091">
        <v>8</v>
      </c>
      <c r="F80" s="1091">
        <v>22.5</v>
      </c>
      <c r="G80" s="1092"/>
      <c r="H80" s="1116">
        <v>14762</v>
      </c>
      <c r="I80" s="18"/>
      <c r="J80" s="18"/>
      <c r="K80" s="7"/>
      <c r="L80" s="1082" t="s">
        <v>372</v>
      </c>
      <c r="M80" s="585">
        <v>25</v>
      </c>
      <c r="N80" s="585">
        <v>50</v>
      </c>
      <c r="O80" s="1083" t="s">
        <v>760</v>
      </c>
      <c r="P80" s="1062"/>
      <c r="Q80" s="1084">
        <f t="shared" si="0"/>
        <v>56929.99999999999</v>
      </c>
      <c r="R80" s="1105">
        <v>62767</v>
      </c>
    </row>
    <row r="81" spans="1:18" ht="12" customHeight="1">
      <c r="A81" s="1117" t="s">
        <v>1732</v>
      </c>
      <c r="B81" s="1118" t="s">
        <v>1740</v>
      </c>
      <c r="C81" s="1001">
        <v>54</v>
      </c>
      <c r="D81" s="1119">
        <v>28</v>
      </c>
      <c r="E81" s="1001">
        <v>8</v>
      </c>
      <c r="F81" s="1001">
        <v>43.5</v>
      </c>
      <c r="G81" s="1120"/>
      <c r="H81" s="1121">
        <v>58804</v>
      </c>
      <c r="I81" s="18"/>
      <c r="J81" s="18"/>
      <c r="K81" s="7"/>
      <c r="L81" s="1082" t="s">
        <v>373</v>
      </c>
      <c r="M81" s="585">
        <v>50</v>
      </c>
      <c r="N81" s="585">
        <v>32</v>
      </c>
      <c r="O81" s="1083" t="s">
        <v>485</v>
      </c>
      <c r="P81" s="1062"/>
      <c r="Q81" s="1084">
        <f t="shared" si="0"/>
        <v>57060.90909090909</v>
      </c>
      <c r="R81" s="1105">
        <v>131723</v>
      </c>
    </row>
    <row r="82" spans="1:18" ht="12" customHeight="1">
      <c r="A82" s="1117" t="s">
        <v>1733</v>
      </c>
      <c r="B82" s="1118" t="s">
        <v>1740</v>
      </c>
      <c r="C82" s="1001">
        <v>78</v>
      </c>
      <c r="D82" s="1001">
        <v>27</v>
      </c>
      <c r="E82" s="1001">
        <v>8</v>
      </c>
      <c r="F82" s="1122">
        <v>53</v>
      </c>
      <c r="G82" s="1123"/>
      <c r="H82" s="1121">
        <v>73932</v>
      </c>
      <c r="I82" s="18"/>
      <c r="J82" s="18"/>
      <c r="K82" s="7"/>
      <c r="L82" s="1082" t="s">
        <v>374</v>
      </c>
      <c r="M82" s="585">
        <v>80</v>
      </c>
      <c r="N82" s="585">
        <v>20</v>
      </c>
      <c r="O82" s="1083" t="s">
        <v>485</v>
      </c>
      <c r="P82" s="1062"/>
      <c r="Q82" s="1084">
        <f t="shared" si="0"/>
        <v>119748.18181818181</v>
      </c>
      <c r="R82" s="1105">
        <v>183621</v>
      </c>
    </row>
    <row r="83" spans="1:18" ht="12" customHeight="1">
      <c r="A83" s="1117" t="s">
        <v>1734</v>
      </c>
      <c r="B83" s="1118" t="s">
        <v>1739</v>
      </c>
      <c r="C83" s="1001">
        <v>42</v>
      </c>
      <c r="D83" s="1001">
        <v>23</v>
      </c>
      <c r="E83" s="1001">
        <v>8</v>
      </c>
      <c r="F83" s="1001">
        <v>24</v>
      </c>
      <c r="G83" s="1099"/>
      <c r="H83" s="1121">
        <v>20728</v>
      </c>
      <c r="I83" s="18"/>
      <c r="J83" s="18"/>
      <c r="K83" s="7"/>
      <c r="L83" s="1082" t="s">
        <v>375</v>
      </c>
      <c r="M83" s="585">
        <v>125</v>
      </c>
      <c r="N83" s="585">
        <v>32</v>
      </c>
      <c r="O83" s="1083" t="s">
        <v>488</v>
      </c>
      <c r="P83" s="1062"/>
      <c r="Q83" s="1084">
        <f t="shared" si="0"/>
        <v>166928.1818181818</v>
      </c>
      <c r="R83" s="1105">
        <v>210613</v>
      </c>
    </row>
    <row r="84" spans="1:18" ht="12" customHeight="1">
      <c r="A84" s="1117" t="s">
        <v>1736</v>
      </c>
      <c r="B84" s="1118" t="s">
        <v>1739</v>
      </c>
      <c r="C84" s="1001">
        <v>45</v>
      </c>
      <c r="D84" s="1001">
        <v>27</v>
      </c>
      <c r="E84" s="1001">
        <v>8</v>
      </c>
      <c r="F84" s="1001">
        <v>35</v>
      </c>
      <c r="G84" s="1099"/>
      <c r="H84" s="1121">
        <v>36844</v>
      </c>
      <c r="I84" s="18"/>
      <c r="J84" s="18"/>
      <c r="K84" s="7"/>
      <c r="L84" s="1082" t="s">
        <v>598</v>
      </c>
      <c r="M84" s="585">
        <v>125</v>
      </c>
      <c r="N84" s="585">
        <v>50</v>
      </c>
      <c r="O84" s="1083" t="s">
        <v>763</v>
      </c>
      <c r="P84" s="1062"/>
      <c r="Q84" s="1084">
        <f t="shared" si="0"/>
        <v>191466.36363636362</v>
      </c>
      <c r="R84" s="1105">
        <v>226233</v>
      </c>
    </row>
    <row r="85" spans="1:18" s="1124" customFormat="1" ht="12" customHeight="1">
      <c r="A85" s="1117" t="s">
        <v>1735</v>
      </c>
      <c r="B85" s="1118" t="s">
        <v>1739</v>
      </c>
      <c r="C85" s="1001">
        <v>78</v>
      </c>
      <c r="D85" s="1001">
        <v>28</v>
      </c>
      <c r="E85" s="1001">
        <v>8</v>
      </c>
      <c r="F85" s="1001">
        <v>45</v>
      </c>
      <c r="G85" s="1120"/>
      <c r="H85" s="1121">
        <v>51118</v>
      </c>
      <c r="I85" s="18"/>
      <c r="J85" s="18"/>
      <c r="K85" s="8"/>
      <c r="L85" s="1082" t="s">
        <v>376</v>
      </c>
      <c r="M85" s="585">
        <v>315</v>
      </c>
      <c r="N85" s="585">
        <v>50</v>
      </c>
      <c r="O85" s="1083" t="s">
        <v>764</v>
      </c>
      <c r="P85" s="1062"/>
      <c r="Q85" s="1084">
        <f t="shared" si="0"/>
        <v>205666.36363636362</v>
      </c>
      <c r="R85" s="1105">
        <v>274028</v>
      </c>
    </row>
    <row r="86" spans="1:18" ht="12" customHeight="1">
      <c r="A86" s="1117" t="s">
        <v>1737</v>
      </c>
      <c r="B86" s="1118" t="s">
        <v>1739</v>
      </c>
      <c r="C86" s="1001">
        <v>120</v>
      </c>
      <c r="D86" s="1001">
        <v>23</v>
      </c>
      <c r="E86" s="1001">
        <v>8</v>
      </c>
      <c r="F86" s="1001">
        <v>72</v>
      </c>
      <c r="G86" s="1123"/>
      <c r="H86" s="1121">
        <v>81618</v>
      </c>
      <c r="I86" s="18"/>
      <c r="J86" s="18"/>
      <c r="K86" s="7"/>
      <c r="L86" s="1082" t="s">
        <v>377</v>
      </c>
      <c r="M86" s="585">
        <v>2</v>
      </c>
      <c r="N86" s="585">
        <v>30</v>
      </c>
      <c r="O86" s="1083" t="s">
        <v>489</v>
      </c>
      <c r="P86" s="1062"/>
      <c r="Q86" s="1084">
        <f t="shared" si="0"/>
        <v>249116.36363636362</v>
      </c>
      <c r="R86" s="1105">
        <v>118053</v>
      </c>
    </row>
    <row r="87" spans="1:18" ht="12" customHeight="1" thickBot="1">
      <c r="A87" s="1125" t="s">
        <v>1738</v>
      </c>
      <c r="B87" s="1126" t="s">
        <v>1740</v>
      </c>
      <c r="C87" s="1080">
        <v>48</v>
      </c>
      <c r="D87" s="1080">
        <v>28</v>
      </c>
      <c r="E87" s="1080">
        <v>8</v>
      </c>
      <c r="F87" s="1080">
        <v>52</v>
      </c>
      <c r="G87" s="1127"/>
      <c r="H87" s="1128">
        <v>71736</v>
      </c>
      <c r="I87" s="18"/>
      <c r="J87" s="18"/>
      <c r="K87" s="7"/>
      <c r="L87" s="1082" t="s">
        <v>378</v>
      </c>
      <c r="M87" s="585">
        <v>45</v>
      </c>
      <c r="N87" s="585">
        <v>54</v>
      </c>
      <c r="O87" s="1083" t="s">
        <v>761</v>
      </c>
      <c r="P87" s="1062"/>
      <c r="Q87" s="1084">
        <f t="shared" si="0"/>
        <v>107320.90909090909</v>
      </c>
      <c r="R87" s="1105">
        <v>231927</v>
      </c>
    </row>
    <row r="88" spans="1:18" ht="12" customHeight="1" thickBot="1">
      <c r="A88" s="2250" t="s">
        <v>1765</v>
      </c>
      <c r="B88" s="2251"/>
      <c r="C88" s="2251"/>
      <c r="D88" s="2251"/>
      <c r="E88" s="2251"/>
      <c r="F88" s="2251"/>
      <c r="G88" s="2251"/>
      <c r="H88" s="2251"/>
      <c r="I88" s="10"/>
      <c r="J88" s="10"/>
      <c r="K88" s="7"/>
      <c r="L88" s="1082" t="s">
        <v>379</v>
      </c>
      <c r="M88" s="585">
        <v>3</v>
      </c>
      <c r="N88" s="585">
        <v>40</v>
      </c>
      <c r="O88" s="1083" t="s">
        <v>489</v>
      </c>
      <c r="P88" s="1062"/>
      <c r="Q88" s="1084">
        <f>R86/1.1</f>
        <v>107320.90909090909</v>
      </c>
      <c r="R88" s="1105">
        <v>23825</v>
      </c>
    </row>
    <row r="89" spans="1:18" ht="12" customHeight="1">
      <c r="A89" s="992" t="s">
        <v>347</v>
      </c>
      <c r="B89" s="1129"/>
      <c r="C89" s="583">
        <v>85</v>
      </c>
      <c r="D89" s="583">
        <v>40</v>
      </c>
      <c r="E89" s="583" t="s">
        <v>788</v>
      </c>
      <c r="F89" s="1130">
        <v>158125</v>
      </c>
      <c r="G89" s="1058">
        <v>220872</v>
      </c>
      <c r="H89" s="1131">
        <v>205965</v>
      </c>
      <c r="I89" s="1132"/>
      <c r="J89" s="1132"/>
      <c r="K89" s="7"/>
      <c r="L89" s="1133" t="s">
        <v>380</v>
      </c>
      <c r="M89" s="1022">
        <v>12.5</v>
      </c>
      <c r="N89" s="1022">
        <v>50</v>
      </c>
      <c r="O89" s="1134" t="s">
        <v>484</v>
      </c>
      <c r="P89" s="1135"/>
      <c r="Q89" s="1136"/>
      <c r="R89" s="1105">
        <v>179374</v>
      </c>
    </row>
    <row r="90" spans="1:18" ht="12" customHeight="1" thickBot="1">
      <c r="A90" s="1065" t="s">
        <v>599</v>
      </c>
      <c r="B90" s="1137"/>
      <c r="C90" s="585">
        <v>160</v>
      </c>
      <c r="D90" s="585">
        <v>31.5</v>
      </c>
      <c r="E90" s="585" t="s">
        <v>791</v>
      </c>
      <c r="F90" s="585">
        <v>178500</v>
      </c>
      <c r="G90" s="1138">
        <v>184010</v>
      </c>
      <c r="H90" s="1139">
        <v>231274</v>
      </c>
      <c r="I90" s="1140"/>
      <c r="J90" s="1140"/>
      <c r="K90" s="1141"/>
      <c r="L90" s="1093" t="s">
        <v>381</v>
      </c>
      <c r="M90" s="1039">
        <v>25</v>
      </c>
      <c r="N90" s="1039">
        <v>32</v>
      </c>
      <c r="O90" s="1094" t="s">
        <v>484</v>
      </c>
      <c r="P90" s="1142"/>
      <c r="Q90" s="1096">
        <f>R87/1.1</f>
        <v>210842.72727272726</v>
      </c>
      <c r="R90" s="1143">
        <v>199096</v>
      </c>
    </row>
    <row r="91" spans="1:18" ht="12" customHeight="1" thickBot="1">
      <c r="A91" s="1065" t="s">
        <v>1767</v>
      </c>
      <c r="B91" s="1137"/>
      <c r="C91" s="585">
        <v>100</v>
      </c>
      <c r="D91" s="585">
        <v>31.5</v>
      </c>
      <c r="E91" s="585" t="s">
        <v>788</v>
      </c>
      <c r="F91" s="585">
        <v>150625</v>
      </c>
      <c r="G91" s="1063">
        <v>288192</v>
      </c>
      <c r="H91" s="1139">
        <v>198465</v>
      </c>
      <c r="I91" s="1140"/>
      <c r="J91" s="1140"/>
      <c r="K91" s="1141"/>
      <c r="L91" s="2251" t="s">
        <v>1766</v>
      </c>
      <c r="M91" s="2251"/>
      <c r="N91" s="2251"/>
      <c r="O91" s="2251"/>
      <c r="P91" s="2251"/>
      <c r="Q91" s="2251"/>
      <c r="R91" s="2251"/>
    </row>
    <row r="92" spans="1:18" ht="12" customHeight="1">
      <c r="A92" s="1065" t="s">
        <v>348</v>
      </c>
      <c r="B92" s="1137"/>
      <c r="C92" s="585">
        <v>170</v>
      </c>
      <c r="D92" s="585">
        <v>40</v>
      </c>
      <c r="E92" s="585" t="s">
        <v>716</v>
      </c>
      <c r="F92" s="585">
        <v>189375</v>
      </c>
      <c r="G92" s="1063">
        <v>265814</v>
      </c>
      <c r="H92" s="1139">
        <v>257731</v>
      </c>
      <c r="I92" s="1140"/>
      <c r="J92" s="1140"/>
      <c r="K92" s="9"/>
      <c r="L92" s="1144" t="s">
        <v>98</v>
      </c>
      <c r="M92" s="1145"/>
      <c r="N92" s="994">
        <v>16</v>
      </c>
      <c r="O92" s="1146" t="s">
        <v>276</v>
      </c>
      <c r="P92" s="994"/>
      <c r="Q92" s="1145"/>
      <c r="R92" s="1147">
        <v>103500</v>
      </c>
    </row>
    <row r="93" spans="1:18" ht="14.25" customHeight="1" thickBot="1">
      <c r="A93" s="1037" t="s">
        <v>1768</v>
      </c>
      <c r="B93" s="1148"/>
      <c r="C93" s="1039">
        <v>250</v>
      </c>
      <c r="D93" s="1039">
        <v>28</v>
      </c>
      <c r="E93" s="1039" t="s">
        <v>716</v>
      </c>
      <c r="F93" s="1039">
        <v>178500</v>
      </c>
      <c r="G93" s="1149">
        <v>325937</v>
      </c>
      <c r="H93" s="1150">
        <v>246856</v>
      </c>
      <c r="I93" s="1140"/>
      <c r="J93" s="1140"/>
      <c r="K93" s="7"/>
      <c r="L93" s="1151" t="s">
        <v>100</v>
      </c>
      <c r="M93" s="1152"/>
      <c r="N93" s="1080">
        <v>25</v>
      </c>
      <c r="O93" s="1153" t="s">
        <v>99</v>
      </c>
      <c r="P93" s="1080"/>
      <c r="Q93" s="1152"/>
      <c r="R93" s="1128">
        <v>143000</v>
      </c>
    </row>
    <row r="94" spans="1:18" ht="4.5" customHeight="1">
      <c r="A94" s="1154"/>
      <c r="C94" s="1140"/>
      <c r="D94" s="1140"/>
      <c r="E94" s="1140"/>
      <c r="F94" s="1140"/>
      <c r="G94" s="1140"/>
      <c r="H94" s="1140"/>
      <c r="I94" s="1140"/>
      <c r="J94" s="1140"/>
      <c r="K94" s="7"/>
      <c r="L94" s="7"/>
      <c r="M94" s="7"/>
      <c r="N94" s="8"/>
      <c r="O94" s="1155"/>
      <c r="P94" s="8"/>
      <c r="Q94" s="7"/>
      <c r="R94" s="18"/>
    </row>
    <row r="95" spans="1:18" ht="28.5" customHeight="1">
      <c r="A95" s="2249" t="s">
        <v>138</v>
      </c>
      <c r="B95" s="2249"/>
      <c r="C95" s="2249"/>
      <c r="D95" s="2249"/>
      <c r="E95" s="2249"/>
      <c r="F95" s="2249"/>
      <c r="G95" s="2249"/>
      <c r="H95" s="2249"/>
      <c r="I95" s="2249"/>
      <c r="J95" s="2249"/>
      <c r="K95" s="2249"/>
      <c r="L95" s="2249"/>
      <c r="M95" s="2249"/>
      <c r="N95" s="2249"/>
      <c r="O95" s="2249"/>
      <c r="P95" s="2249"/>
      <c r="Q95" s="2249"/>
      <c r="R95" s="2249"/>
    </row>
    <row r="96" spans="1:11" ht="15.75" customHeight="1">
      <c r="A96" s="1156" t="s">
        <v>421</v>
      </c>
      <c r="K96" s="7"/>
    </row>
    <row r="97" ht="11.25" customHeight="1">
      <c r="K97" s="7"/>
    </row>
    <row r="98" ht="11.25" customHeight="1">
      <c r="K98" s="7"/>
    </row>
    <row r="99" ht="11.25" customHeight="1">
      <c r="K99" s="1160"/>
    </row>
    <row r="100" ht="11.25" customHeight="1">
      <c r="K100" s="1161"/>
    </row>
    <row r="101" ht="11.25" customHeight="1"/>
    <row r="102" ht="11.25" customHeight="1"/>
    <row r="103" ht="28.5" customHeight="1"/>
    <row r="104" ht="17.25" customHeight="1"/>
    <row r="105" ht="9" customHeight="1"/>
    <row r="106" ht="9" customHeight="1"/>
    <row r="107" ht="9" customHeight="1"/>
    <row r="108" ht="9" customHeight="1"/>
  </sheetData>
  <sheetProtection/>
  <mergeCells count="12">
    <mergeCell ref="A95:R95"/>
    <mergeCell ref="A88:H88"/>
    <mergeCell ref="A48:H49"/>
    <mergeCell ref="A60:H60"/>
    <mergeCell ref="A77:H78"/>
    <mergeCell ref="L57:R57"/>
    <mergeCell ref="L91:R91"/>
    <mergeCell ref="L46:R46"/>
    <mergeCell ref="L1:R1"/>
    <mergeCell ref="A1:D2"/>
    <mergeCell ref="E1:H2"/>
    <mergeCell ref="L42:R42"/>
  </mergeCells>
  <printOptions horizontalCentered="1" verticalCentered="1"/>
  <pageMargins left="0" right="0" top="0" bottom="0" header="0" footer="0"/>
  <pageSetup horizontalDpi="600" verticalDpi="600" orientation="portrait" paperSize="9" scale="71" r:id="rId2"/>
  <headerFooter alignWithMargins="0">
    <oddHeader xml:space="preserve">&amp;R&amp;8              </oddHeader>
    <oddFooter>&amp;Rстр. 2 из 8</oddFooter>
  </headerFooter>
  <rowBreaks count="1" manualBreakCount="1">
    <brk id="96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SheetLayoutView="100" zoomScalePageLayoutView="0" workbookViewId="0" topLeftCell="A1">
      <selection activeCell="A18" sqref="A18:G18"/>
    </sheetView>
  </sheetViews>
  <sheetFormatPr defaultColWidth="9.00390625" defaultRowHeight="9" customHeight="1"/>
  <cols>
    <col min="1" max="1" width="18.625" style="1" customWidth="1"/>
    <col min="2" max="2" width="7.00390625" style="1" customWidth="1"/>
    <col min="3" max="3" width="9.75390625" style="1" customWidth="1"/>
    <col min="4" max="4" width="9.75390625" style="1" hidden="1" customWidth="1"/>
    <col min="5" max="5" width="11.75390625" style="1" customWidth="1"/>
    <col min="6" max="6" width="11.875" style="1" hidden="1" customWidth="1"/>
    <col min="7" max="7" width="11.00390625" style="3" customWidth="1"/>
    <col min="8" max="8" width="1.25" style="1" customWidth="1"/>
    <col min="9" max="9" width="20.125" style="1" customWidth="1"/>
    <col min="10" max="10" width="5.125" style="1" customWidth="1"/>
    <col min="11" max="11" width="7.75390625" style="1" customWidth="1"/>
    <col min="12" max="12" width="9.75390625" style="1331" customWidth="1"/>
    <col min="13" max="13" width="10.375" style="1332" customWidth="1"/>
    <col min="14" max="14" width="0.12890625" style="1" hidden="1" customWidth="1"/>
    <col min="15" max="16384" width="9.125" style="1" customWidth="1"/>
  </cols>
  <sheetData>
    <row r="1" spans="1:16" s="979" customFormat="1" ht="13.5" customHeight="1">
      <c r="A1" s="1162" t="s">
        <v>130</v>
      </c>
      <c r="B1" s="1157"/>
      <c r="C1" s="1163" t="s">
        <v>151</v>
      </c>
      <c r="D1" s="1163"/>
      <c r="E1" s="1158"/>
      <c r="F1" s="1158"/>
      <c r="G1" s="1158"/>
      <c r="H1" s="1159"/>
      <c r="I1" s="1164" t="s">
        <v>1644</v>
      </c>
      <c r="J1" s="1158"/>
      <c r="K1" s="1158"/>
      <c r="L1" s="1158"/>
      <c r="M1" s="1158"/>
      <c r="N1" s="1158"/>
      <c r="O1" s="1158"/>
      <c r="P1" s="1159"/>
    </row>
    <row r="2" spans="1:13" ht="16.5" customHeight="1" thickBot="1">
      <c r="A2" s="2272" t="s">
        <v>95</v>
      </c>
      <c r="B2" s="2272"/>
      <c r="C2" s="2272"/>
      <c r="D2" s="2272"/>
      <c r="E2" s="2272"/>
      <c r="F2" s="2272"/>
      <c r="G2" s="2272"/>
      <c r="H2" s="2272"/>
      <c r="I2" s="2272"/>
      <c r="J2" s="2272"/>
      <c r="K2" s="2272"/>
      <c r="L2" s="2272"/>
      <c r="M2" s="2272"/>
    </row>
    <row r="3" spans="1:14" ht="9.75" customHeight="1" thickBot="1">
      <c r="A3" s="2270" t="s">
        <v>171</v>
      </c>
      <c r="B3" s="2271"/>
      <c r="C3" s="1166" t="s">
        <v>507</v>
      </c>
      <c r="D3" s="1167"/>
      <c r="E3" s="1168" t="s">
        <v>508</v>
      </c>
      <c r="F3" s="1168"/>
      <c r="G3" s="985" t="s">
        <v>509</v>
      </c>
      <c r="H3" s="1169"/>
      <c r="I3" s="2270" t="s">
        <v>171</v>
      </c>
      <c r="J3" s="2271"/>
      <c r="K3" s="1166" t="s">
        <v>507</v>
      </c>
      <c r="L3" s="1166" t="s">
        <v>508</v>
      </c>
      <c r="M3" s="990" t="s">
        <v>509</v>
      </c>
      <c r="N3" s="1170" t="s">
        <v>509</v>
      </c>
    </row>
    <row r="4" spans="1:14" ht="9.75" customHeight="1" thickBot="1">
      <c r="A4" s="1086" t="s">
        <v>652</v>
      </c>
      <c r="B4" s="1171"/>
      <c r="C4" s="1172">
        <v>0.25</v>
      </c>
      <c r="D4" s="1173">
        <v>1500</v>
      </c>
      <c r="E4" s="1174">
        <v>1500</v>
      </c>
      <c r="F4" s="1175"/>
      <c r="G4" s="1176">
        <v>25680</v>
      </c>
      <c r="H4" s="1177"/>
      <c r="I4" s="992" t="s">
        <v>168</v>
      </c>
      <c r="J4" s="1178"/>
      <c r="K4" s="553">
        <v>3</v>
      </c>
      <c r="L4" s="553">
        <v>1500</v>
      </c>
      <c r="M4" s="1058">
        <v>47760</v>
      </c>
      <c r="N4" s="1179">
        <v>977886</v>
      </c>
    </row>
    <row r="5" spans="1:14" ht="9.75" customHeight="1">
      <c r="A5" s="1180" t="s">
        <v>653</v>
      </c>
      <c r="B5" s="1181"/>
      <c r="C5" s="1182">
        <v>0.25</v>
      </c>
      <c r="D5" s="1183">
        <v>1500</v>
      </c>
      <c r="E5" s="1184">
        <v>1500</v>
      </c>
      <c r="F5" s="1008"/>
      <c r="G5" s="1185">
        <v>26750</v>
      </c>
      <c r="H5" s="1177"/>
      <c r="I5" s="999" t="s">
        <v>167</v>
      </c>
      <c r="J5" s="1177"/>
      <c r="K5" s="555">
        <v>3</v>
      </c>
      <c r="L5" s="555">
        <v>1500</v>
      </c>
      <c r="M5" s="1063">
        <v>52080</v>
      </c>
      <c r="N5" s="1186">
        <f>L35/1.1</f>
        <v>114080.90909090909</v>
      </c>
    </row>
    <row r="6" spans="1:14" ht="9.75" customHeight="1">
      <c r="A6" s="1065" t="s">
        <v>654</v>
      </c>
      <c r="B6" s="1181"/>
      <c r="C6" s="1187">
        <v>0.25</v>
      </c>
      <c r="D6" s="1188">
        <v>1500</v>
      </c>
      <c r="E6" s="1189">
        <v>1500</v>
      </c>
      <c r="F6" s="1008"/>
      <c r="G6" s="1190">
        <v>27000</v>
      </c>
      <c r="H6" s="1177"/>
      <c r="I6" s="1065" t="s">
        <v>166</v>
      </c>
      <c r="J6" s="1177"/>
      <c r="K6" s="555">
        <v>3</v>
      </c>
      <c r="L6" s="555">
        <v>1500</v>
      </c>
      <c r="M6" s="1063">
        <v>56160</v>
      </c>
      <c r="N6" s="1186">
        <f>L36/1.1</f>
        <v>128432.43636363634</v>
      </c>
    </row>
    <row r="7" spans="1:14" ht="9.75" customHeight="1">
      <c r="A7" s="999" t="s">
        <v>655</v>
      </c>
      <c r="B7" s="1181"/>
      <c r="C7" s="555">
        <v>0.55</v>
      </c>
      <c r="D7" s="1188">
        <v>1500</v>
      </c>
      <c r="E7" s="1189">
        <v>1500</v>
      </c>
      <c r="F7" s="1191"/>
      <c r="G7" s="1190">
        <v>39600</v>
      </c>
      <c r="H7" s="1177"/>
      <c r="I7" s="1065" t="s">
        <v>160</v>
      </c>
      <c r="J7" s="1177"/>
      <c r="K7" s="555">
        <v>3</v>
      </c>
      <c r="L7" s="555">
        <v>1500</v>
      </c>
      <c r="M7" s="1063">
        <v>62880</v>
      </c>
      <c r="N7" s="1186">
        <f>L37/1.1</f>
        <v>146556.32727272724</v>
      </c>
    </row>
    <row r="8" spans="1:14" ht="9.75" customHeight="1" thickBot="1">
      <c r="A8" s="1065" t="s">
        <v>286</v>
      </c>
      <c r="B8" s="1181"/>
      <c r="C8" s="555">
        <v>0.55</v>
      </c>
      <c r="D8" s="1188">
        <v>1500</v>
      </c>
      <c r="E8" s="1189">
        <v>1500</v>
      </c>
      <c r="F8" s="1191"/>
      <c r="G8" s="1190">
        <v>41760</v>
      </c>
      <c r="H8" s="1177"/>
      <c r="I8" s="1078" t="s">
        <v>159</v>
      </c>
      <c r="J8" s="1192"/>
      <c r="K8" s="558">
        <v>3</v>
      </c>
      <c r="L8" s="558">
        <v>1500</v>
      </c>
      <c r="M8" s="1081">
        <v>68640</v>
      </c>
      <c r="N8" s="1186">
        <f aca="true" t="shared" si="0" ref="N8:N19">M38/1.1</f>
        <v>204981.54545454544</v>
      </c>
    </row>
    <row r="9" spans="1:14" ht="9.75" customHeight="1">
      <c r="A9" s="999" t="s">
        <v>651</v>
      </c>
      <c r="B9" s="1181"/>
      <c r="C9" s="555">
        <v>1.1</v>
      </c>
      <c r="D9" s="1188">
        <v>1500</v>
      </c>
      <c r="E9" s="1189">
        <v>1500</v>
      </c>
      <c r="F9" s="1191"/>
      <c r="G9" s="1190">
        <v>46920</v>
      </c>
      <c r="H9" s="1177"/>
      <c r="I9" s="1180" t="s">
        <v>659</v>
      </c>
      <c r="J9" s="1193"/>
      <c r="K9" s="1182">
        <v>0.25</v>
      </c>
      <c r="L9" s="1194">
        <v>1500</v>
      </c>
      <c r="M9" s="1195">
        <v>37920</v>
      </c>
      <c r="N9" s="1186">
        <f t="shared" si="0"/>
        <v>253976.72727272726</v>
      </c>
    </row>
    <row r="10" spans="1:14" ht="9.75" customHeight="1">
      <c r="A10" s="1065" t="s">
        <v>656</v>
      </c>
      <c r="B10" s="1189"/>
      <c r="C10" s="1196">
        <v>1.1</v>
      </c>
      <c r="D10" s="1188">
        <v>1500</v>
      </c>
      <c r="E10" s="1189">
        <v>1500</v>
      </c>
      <c r="F10" s="1191"/>
      <c r="G10" s="1190">
        <v>44160</v>
      </c>
      <c r="H10" s="1177"/>
      <c r="I10" s="1065" t="s">
        <v>680</v>
      </c>
      <c r="J10" s="1177"/>
      <c r="K10" s="1187">
        <v>0.25</v>
      </c>
      <c r="L10" s="555">
        <v>1500</v>
      </c>
      <c r="M10" s="1063">
        <v>37920</v>
      </c>
      <c r="N10" s="1186">
        <f t="shared" si="0"/>
        <v>291674.5454545454</v>
      </c>
    </row>
    <row r="11" spans="1:14" ht="9.75" customHeight="1">
      <c r="A11" s="999" t="s">
        <v>169</v>
      </c>
      <c r="B11" s="1189"/>
      <c r="C11" s="555">
        <v>1.1</v>
      </c>
      <c r="D11" s="1188">
        <v>1500</v>
      </c>
      <c r="E11" s="1189">
        <v>1500</v>
      </c>
      <c r="F11" s="1191"/>
      <c r="G11" s="1190">
        <v>43920</v>
      </c>
      <c r="H11" s="1177"/>
      <c r="I11" s="1065" t="s">
        <v>681</v>
      </c>
      <c r="J11" s="1177"/>
      <c r="K11" s="1187">
        <v>0.25</v>
      </c>
      <c r="L11" s="555">
        <v>1500</v>
      </c>
      <c r="M11" s="1063">
        <v>39120</v>
      </c>
      <c r="N11" s="1186">
        <f t="shared" si="0"/>
        <v>323725.09090909094</v>
      </c>
    </row>
    <row r="12" spans="1:14" ht="9.75" customHeight="1">
      <c r="A12" s="999" t="s">
        <v>650</v>
      </c>
      <c r="B12" s="1189"/>
      <c r="C12" s="555">
        <v>1.1</v>
      </c>
      <c r="D12" s="1188">
        <v>1500</v>
      </c>
      <c r="E12" s="1189">
        <v>1500</v>
      </c>
      <c r="F12" s="1191"/>
      <c r="G12" s="1190">
        <v>43920</v>
      </c>
      <c r="H12" s="1177"/>
      <c r="I12" s="1065" t="s">
        <v>682</v>
      </c>
      <c r="J12" s="1177"/>
      <c r="K12" s="1187">
        <v>0.25</v>
      </c>
      <c r="L12" s="555">
        <v>1500</v>
      </c>
      <c r="M12" s="1063">
        <v>42120</v>
      </c>
      <c r="N12" s="1186">
        <f t="shared" si="0"/>
        <v>539078.0909090909</v>
      </c>
    </row>
    <row r="13" spans="1:14" ht="9.75" customHeight="1">
      <c r="A13" s="1065" t="s">
        <v>657</v>
      </c>
      <c r="B13" s="1181"/>
      <c r="C13" s="1196">
        <v>1.5</v>
      </c>
      <c r="D13" s="1188">
        <v>1500</v>
      </c>
      <c r="E13" s="1189">
        <v>1500</v>
      </c>
      <c r="F13" s="1191"/>
      <c r="G13" s="1190">
        <v>45720</v>
      </c>
      <c r="H13" s="1177"/>
      <c r="I13" s="1065" t="s">
        <v>683</v>
      </c>
      <c r="J13" s="1177"/>
      <c r="K13" s="1187">
        <v>0.55</v>
      </c>
      <c r="L13" s="555">
        <v>1500</v>
      </c>
      <c r="M13" s="1063">
        <v>58440</v>
      </c>
      <c r="N13" s="1186">
        <f t="shared" si="0"/>
        <v>544386.8181818181</v>
      </c>
    </row>
    <row r="14" spans="1:14" ht="9.75" customHeight="1">
      <c r="A14" s="999" t="s">
        <v>2059</v>
      </c>
      <c r="B14" s="1181"/>
      <c r="C14" s="555">
        <v>1.5</v>
      </c>
      <c r="D14" s="1188">
        <v>1500</v>
      </c>
      <c r="E14" s="1189">
        <v>1500</v>
      </c>
      <c r="F14" s="1191"/>
      <c r="G14" s="1190">
        <v>47520</v>
      </c>
      <c r="H14" s="1177"/>
      <c r="I14" s="1065" t="s">
        <v>684</v>
      </c>
      <c r="J14" s="1177"/>
      <c r="K14" s="1187">
        <v>0.55</v>
      </c>
      <c r="L14" s="555">
        <v>1500</v>
      </c>
      <c r="M14" s="1063">
        <v>59880</v>
      </c>
      <c r="N14" s="1186">
        <f t="shared" si="0"/>
        <v>552378.2727272727</v>
      </c>
    </row>
    <row r="15" spans="1:14" ht="9.75" customHeight="1">
      <c r="A15" s="999" t="s">
        <v>2060</v>
      </c>
      <c r="B15" s="1181"/>
      <c r="C15" s="555">
        <v>1.5</v>
      </c>
      <c r="D15" s="1188">
        <v>1500</v>
      </c>
      <c r="E15" s="1189">
        <v>1500</v>
      </c>
      <c r="F15" s="1191"/>
      <c r="G15" s="1190">
        <v>48840</v>
      </c>
      <c r="H15" s="1177"/>
      <c r="I15" s="1065" t="s">
        <v>685</v>
      </c>
      <c r="J15" s="1177"/>
      <c r="K15" s="1196">
        <v>1.1</v>
      </c>
      <c r="L15" s="555">
        <v>1500</v>
      </c>
      <c r="M15" s="1063">
        <v>58680</v>
      </c>
      <c r="N15" s="1186">
        <f t="shared" si="0"/>
        <v>348629.2727272727</v>
      </c>
    </row>
    <row r="16" spans="1:14" ht="9.75" customHeight="1">
      <c r="A16" s="999" t="s">
        <v>1962</v>
      </c>
      <c r="B16" s="1197"/>
      <c r="C16" s="555">
        <v>1.5</v>
      </c>
      <c r="D16" s="1188">
        <v>1500</v>
      </c>
      <c r="E16" s="1189">
        <v>1500</v>
      </c>
      <c r="F16" s="1191"/>
      <c r="G16" s="1190">
        <v>52080</v>
      </c>
      <c r="H16" s="1177"/>
      <c r="I16" s="1065" t="s">
        <v>686</v>
      </c>
      <c r="J16" s="1198"/>
      <c r="K16" s="1196">
        <v>1.1</v>
      </c>
      <c r="L16" s="555">
        <v>1500</v>
      </c>
      <c r="M16" s="1063">
        <v>68640</v>
      </c>
      <c r="N16" s="1186">
        <f t="shared" si="0"/>
        <v>604810.8181818181</v>
      </c>
    </row>
    <row r="17" spans="1:14" ht="9.75" customHeight="1" thickBot="1">
      <c r="A17" s="999" t="s">
        <v>658</v>
      </c>
      <c r="B17" s="1199"/>
      <c r="C17" s="558">
        <v>1.5</v>
      </c>
      <c r="D17" s="1188">
        <v>1500</v>
      </c>
      <c r="E17" s="1189">
        <v>1500</v>
      </c>
      <c r="F17" s="1200"/>
      <c r="G17" s="1190">
        <v>45120</v>
      </c>
      <c r="H17" s="1177"/>
      <c r="I17" s="1078" t="s">
        <v>687</v>
      </c>
      <c r="J17" s="1192"/>
      <c r="K17" s="1201">
        <v>2.2</v>
      </c>
      <c r="L17" s="558">
        <v>1500</v>
      </c>
      <c r="M17" s="1081">
        <v>38000</v>
      </c>
      <c r="N17" s="1186">
        <f t="shared" si="0"/>
        <v>640976.8181818181</v>
      </c>
    </row>
    <row r="18" spans="1:14" ht="16.5" customHeight="1" thickBot="1">
      <c r="A18" s="2275" t="s">
        <v>303</v>
      </c>
      <c r="B18" s="2276"/>
      <c r="C18" s="2276"/>
      <c r="D18" s="2276"/>
      <c r="E18" s="2276"/>
      <c r="F18" s="2276"/>
      <c r="G18" s="2277"/>
      <c r="H18" s="7"/>
      <c r="I18" s="2271" t="s">
        <v>344</v>
      </c>
      <c r="J18" s="2271"/>
      <c r="K18" s="2271"/>
      <c r="L18" s="2271"/>
      <c r="M18" s="2271"/>
      <c r="N18" s="1186" t="e">
        <f t="shared" si="0"/>
        <v>#VALUE!</v>
      </c>
    </row>
    <row r="19" spans="1:14" ht="9.75" customHeight="1" thickBot="1">
      <c r="A19" s="988" t="s">
        <v>171</v>
      </c>
      <c r="B19" s="988" t="s">
        <v>688</v>
      </c>
      <c r="C19" s="988" t="s">
        <v>174</v>
      </c>
      <c r="D19" s="630"/>
      <c r="E19" s="983" t="s">
        <v>277</v>
      </c>
      <c r="F19" s="989" t="s">
        <v>173</v>
      </c>
      <c r="G19" s="1166" t="s">
        <v>173</v>
      </c>
      <c r="H19" s="8"/>
      <c r="I19" s="1144" t="s">
        <v>1940</v>
      </c>
      <c r="J19" s="994">
        <v>2</v>
      </c>
      <c r="K19" s="994">
        <v>12</v>
      </c>
      <c r="L19" s="994" t="s">
        <v>478</v>
      </c>
      <c r="M19" s="1202">
        <v>41760</v>
      </c>
      <c r="N19" s="1186" t="e">
        <f t="shared" si="0"/>
        <v>#VALUE!</v>
      </c>
    </row>
    <row r="20" spans="1:14" ht="9.75" customHeight="1">
      <c r="A20" s="1144" t="s">
        <v>767</v>
      </c>
      <c r="B20" s="994">
        <v>50</v>
      </c>
      <c r="C20" s="1203">
        <v>60</v>
      </c>
      <c r="D20" s="1203"/>
      <c r="E20" s="994" t="s">
        <v>759</v>
      </c>
      <c r="F20" s="1204"/>
      <c r="G20" s="1147">
        <v>126253</v>
      </c>
      <c r="H20" s="8"/>
      <c r="I20" s="1205" t="s">
        <v>1941</v>
      </c>
      <c r="J20" s="1001">
        <v>2</v>
      </c>
      <c r="K20" s="1206">
        <v>16</v>
      </c>
      <c r="L20" s="1001" t="s">
        <v>479</v>
      </c>
      <c r="M20" s="1121">
        <v>42110</v>
      </c>
      <c r="N20" s="1207" t="s">
        <v>408</v>
      </c>
    </row>
    <row r="21" spans="1:14" ht="9.75" customHeight="1" thickBot="1">
      <c r="A21" s="1205" t="s">
        <v>768</v>
      </c>
      <c r="B21" s="1208">
        <v>70</v>
      </c>
      <c r="C21" s="1209">
        <v>54</v>
      </c>
      <c r="D21" s="1209"/>
      <c r="E21" s="1001">
        <v>22</v>
      </c>
      <c r="F21" s="1210"/>
      <c r="G21" s="1121">
        <v>133163</v>
      </c>
      <c r="H21" s="8"/>
      <c r="I21" s="1151" t="s">
        <v>386</v>
      </c>
      <c r="J21" s="1211">
        <v>1.6</v>
      </c>
      <c r="K21" s="1080">
        <v>16</v>
      </c>
      <c r="L21" s="1080" t="s">
        <v>478</v>
      </c>
      <c r="M21" s="1212">
        <v>16285</v>
      </c>
      <c r="N21" s="1213" t="s">
        <v>408</v>
      </c>
    </row>
    <row r="22" spans="1:14" ht="9.75" customHeight="1" thickBot="1">
      <c r="A22" s="1205" t="s">
        <v>766</v>
      </c>
      <c r="B22" s="1001">
        <v>80</v>
      </c>
      <c r="C22" s="1209">
        <v>43</v>
      </c>
      <c r="D22" s="1209"/>
      <c r="E22" s="1001">
        <v>15</v>
      </c>
      <c r="F22" s="1210"/>
      <c r="G22" s="1121">
        <v>305450</v>
      </c>
      <c r="H22" s="8"/>
      <c r="I22" s="2271" t="s">
        <v>388</v>
      </c>
      <c r="J22" s="2271"/>
      <c r="K22" s="2271"/>
      <c r="L22" s="2271"/>
      <c r="M22" s="2271"/>
      <c r="N22" s="1214">
        <f aca="true" t="shared" si="1" ref="N22:N27">M54/1.1</f>
        <v>347962.0545454545</v>
      </c>
    </row>
    <row r="23" spans="1:14" ht="9.75" customHeight="1">
      <c r="A23" s="1205" t="s">
        <v>309</v>
      </c>
      <c r="B23" s="1208">
        <v>150</v>
      </c>
      <c r="C23" s="1209">
        <v>54</v>
      </c>
      <c r="D23" s="1209"/>
      <c r="E23" s="1001">
        <v>30</v>
      </c>
      <c r="F23" s="1001"/>
      <c r="G23" s="1121">
        <v>486320</v>
      </c>
      <c r="H23" s="8"/>
      <c r="I23" s="1144" t="s">
        <v>390</v>
      </c>
      <c r="J23" s="994">
        <v>14.4</v>
      </c>
      <c r="K23" s="994">
        <v>112</v>
      </c>
      <c r="L23" s="994" t="s">
        <v>761</v>
      </c>
      <c r="M23" s="1215">
        <v>64049</v>
      </c>
      <c r="N23" s="1186">
        <f t="shared" si="1"/>
        <v>331995.7090909091</v>
      </c>
    </row>
    <row r="24" spans="1:14" ht="9.75" customHeight="1">
      <c r="A24" s="1205" t="s">
        <v>870</v>
      </c>
      <c r="B24" s="1001">
        <v>98</v>
      </c>
      <c r="C24" s="1209">
        <v>38</v>
      </c>
      <c r="D24" s="1209"/>
      <c r="E24" s="1001">
        <v>22</v>
      </c>
      <c r="F24" s="1210"/>
      <c r="G24" s="1121">
        <v>194306</v>
      </c>
      <c r="H24" s="8"/>
      <c r="I24" s="1205" t="s">
        <v>394</v>
      </c>
      <c r="J24" s="1001">
        <v>18</v>
      </c>
      <c r="K24" s="1001">
        <v>125</v>
      </c>
      <c r="L24" s="1001" t="s">
        <v>487</v>
      </c>
      <c r="M24" s="866">
        <v>67034</v>
      </c>
      <c r="N24" s="1186">
        <f t="shared" si="1"/>
        <v>326250.78181818186</v>
      </c>
    </row>
    <row r="25" spans="1:14" ht="9.75" customHeight="1" thickBot="1">
      <c r="A25" s="1216" t="s">
        <v>871</v>
      </c>
      <c r="B25" s="1208">
        <v>140</v>
      </c>
      <c r="C25" s="1217">
        <v>49</v>
      </c>
      <c r="D25" s="1217"/>
      <c r="E25" s="1001">
        <v>45</v>
      </c>
      <c r="F25" s="1210"/>
      <c r="G25" s="1121">
        <v>292800</v>
      </c>
      <c r="H25" s="8"/>
      <c r="I25" s="1151" t="s">
        <v>396</v>
      </c>
      <c r="J25" s="1080">
        <v>22.7</v>
      </c>
      <c r="K25" s="1080">
        <v>160</v>
      </c>
      <c r="L25" s="1080" t="s">
        <v>487</v>
      </c>
      <c r="M25" s="937">
        <v>67034</v>
      </c>
      <c r="N25" s="1186">
        <f t="shared" si="1"/>
        <v>891572.6363636364</v>
      </c>
    </row>
    <row r="26" spans="1:14" ht="9.75" customHeight="1" thickBot="1">
      <c r="A26" s="1205" t="s">
        <v>313</v>
      </c>
      <c r="B26" s="1001">
        <v>250</v>
      </c>
      <c r="C26" s="1209">
        <v>32</v>
      </c>
      <c r="D26" s="1209"/>
      <c r="E26" s="1001">
        <v>45</v>
      </c>
      <c r="F26" s="1210"/>
      <c r="G26" s="1121">
        <v>291100</v>
      </c>
      <c r="H26" s="8"/>
      <c r="I26" s="2271" t="s">
        <v>345</v>
      </c>
      <c r="J26" s="2271"/>
      <c r="K26" s="2271"/>
      <c r="L26" s="2271"/>
      <c r="M26" s="2271"/>
      <c r="N26" s="1186">
        <f t="shared" si="1"/>
        <v>667993.2181818181</v>
      </c>
    </row>
    <row r="27" spans="1:14" ht="9.75" customHeight="1" thickBot="1">
      <c r="A27" s="1218" t="s">
        <v>96</v>
      </c>
      <c r="B27" s="1211">
        <v>600</v>
      </c>
      <c r="C27" s="1219">
        <v>92</v>
      </c>
      <c r="D27" s="1219"/>
      <c r="E27" s="1080">
        <v>25</v>
      </c>
      <c r="F27" s="1220"/>
      <c r="G27" s="1128">
        <v>493420</v>
      </c>
      <c r="H27" s="8"/>
      <c r="I27" s="1221" t="s">
        <v>346</v>
      </c>
      <c r="J27" s="994">
        <v>6.3</v>
      </c>
      <c r="K27" s="994">
        <v>20</v>
      </c>
      <c r="L27" s="994">
        <v>1.1</v>
      </c>
      <c r="M27" s="1222">
        <v>90388</v>
      </c>
      <c r="N27" s="1223">
        <f t="shared" si="1"/>
        <v>970898.5454545455</v>
      </c>
    </row>
    <row r="28" spans="1:14" ht="9.75" customHeight="1" thickBot="1">
      <c r="A28" s="2271" t="s">
        <v>1901</v>
      </c>
      <c r="B28" s="2271"/>
      <c r="C28" s="2271"/>
      <c r="D28" s="2271"/>
      <c r="E28" s="2271"/>
      <c r="F28" s="2271"/>
      <c r="G28" s="2271"/>
      <c r="H28" s="1224"/>
      <c r="I28" s="1117" t="s">
        <v>385</v>
      </c>
      <c r="J28" s="1001">
        <v>6.3</v>
      </c>
      <c r="K28" s="1001">
        <v>32</v>
      </c>
      <c r="L28" s="1001">
        <v>2.2</v>
      </c>
      <c r="M28" s="1225">
        <v>111628</v>
      </c>
      <c r="N28" s="1226"/>
    </row>
    <row r="29" spans="1:13" ht="9.75" customHeight="1" thickBot="1">
      <c r="A29" s="1144" t="s">
        <v>316</v>
      </c>
      <c r="B29" s="1227">
        <v>35</v>
      </c>
      <c r="C29" s="1228">
        <v>26</v>
      </c>
      <c r="D29" s="1228"/>
      <c r="E29" s="994">
        <v>11</v>
      </c>
      <c r="F29" s="1229"/>
      <c r="G29" s="1230">
        <v>63918</v>
      </c>
      <c r="H29" s="8"/>
      <c r="I29" s="1117" t="s">
        <v>387</v>
      </c>
      <c r="J29" s="1001">
        <v>12.5</v>
      </c>
      <c r="K29" s="1001">
        <v>50</v>
      </c>
      <c r="L29" s="1001">
        <v>4</v>
      </c>
      <c r="M29" s="1225">
        <v>150037</v>
      </c>
    </row>
    <row r="30" spans="1:14" ht="9.75" customHeight="1">
      <c r="A30" s="1205" t="s">
        <v>318</v>
      </c>
      <c r="B30" s="1209">
        <v>20</v>
      </c>
      <c r="C30" s="1001">
        <v>12</v>
      </c>
      <c r="D30" s="1001"/>
      <c r="E30" s="1001">
        <v>5.5</v>
      </c>
      <c r="F30" s="1231"/>
      <c r="G30" s="1232">
        <f>40675*1.07</f>
        <v>43522.25</v>
      </c>
      <c r="H30" s="8"/>
      <c r="I30" s="1117" t="s">
        <v>389</v>
      </c>
      <c r="J30" s="1001">
        <v>25</v>
      </c>
      <c r="K30" s="1001">
        <v>50</v>
      </c>
      <c r="L30" s="1001">
        <v>5.5</v>
      </c>
      <c r="M30" s="1225">
        <v>168976</v>
      </c>
      <c r="N30" s="1233"/>
    </row>
    <row r="31" spans="1:14" ht="9.75" customHeight="1">
      <c r="A31" s="1205" t="s">
        <v>320</v>
      </c>
      <c r="B31" s="1209">
        <v>32</v>
      </c>
      <c r="C31" s="1001">
        <v>54</v>
      </c>
      <c r="D31" s="1001"/>
      <c r="E31" s="1001">
        <v>18.5</v>
      </c>
      <c r="F31" s="1231"/>
      <c r="G31" s="1232">
        <v>109410</v>
      </c>
      <c r="H31" s="8"/>
      <c r="I31" s="1117" t="s">
        <v>393</v>
      </c>
      <c r="J31" s="1001">
        <v>25</v>
      </c>
      <c r="K31" s="1001">
        <v>80</v>
      </c>
      <c r="L31" s="1001">
        <v>11</v>
      </c>
      <c r="M31" s="1225">
        <v>228035</v>
      </c>
      <c r="N31" s="2"/>
    </row>
    <row r="32" spans="1:14" ht="9.75" customHeight="1" thickBot="1">
      <c r="A32" s="1151" t="s">
        <v>322</v>
      </c>
      <c r="B32" s="1234">
        <v>35</v>
      </c>
      <c r="C32" s="1080">
        <v>26</v>
      </c>
      <c r="D32" s="1080"/>
      <c r="E32" s="1080" t="s">
        <v>323</v>
      </c>
      <c r="F32" s="1235"/>
      <c r="G32" s="1236">
        <v>27143</v>
      </c>
      <c r="H32" s="8"/>
      <c r="I32" s="1125" t="s">
        <v>395</v>
      </c>
      <c r="J32" s="1080">
        <v>50</v>
      </c>
      <c r="K32" s="1080">
        <v>50</v>
      </c>
      <c r="L32" s="1080">
        <v>11</v>
      </c>
      <c r="M32" s="1237">
        <v>190157</v>
      </c>
      <c r="N32" s="1238"/>
    </row>
    <row r="33" spans="1:13" ht="9.75" customHeight="1" thickBot="1">
      <c r="A33" s="2280" t="s">
        <v>68</v>
      </c>
      <c r="B33" s="2280"/>
      <c r="C33" s="2280"/>
      <c r="D33" s="2280"/>
      <c r="E33" s="2281"/>
      <c r="F33" s="2281"/>
      <c r="G33" s="2281"/>
      <c r="H33" s="2281"/>
      <c r="I33" s="2281"/>
      <c r="J33" s="2281"/>
      <c r="K33" s="2281"/>
      <c r="L33" s="2281"/>
      <c r="M33" s="2281"/>
    </row>
    <row r="34" spans="1:14" ht="12.75" customHeight="1" thickBot="1">
      <c r="A34" s="1239" t="s">
        <v>171</v>
      </c>
      <c r="B34" s="1240"/>
      <c r="C34" s="1241" t="s">
        <v>279</v>
      </c>
      <c r="D34" s="1242"/>
      <c r="E34" s="1241" t="s">
        <v>280</v>
      </c>
      <c r="F34" s="1243" t="s">
        <v>184</v>
      </c>
      <c r="G34" s="1244" t="s">
        <v>184</v>
      </c>
      <c r="H34" s="8"/>
      <c r="I34" s="1241" t="s">
        <v>171</v>
      </c>
      <c r="J34" s="2285" t="s">
        <v>279</v>
      </c>
      <c r="K34" s="2286"/>
      <c r="L34" s="1245" t="s">
        <v>280</v>
      </c>
      <c r="M34" s="1246" t="s">
        <v>184</v>
      </c>
      <c r="N34" s="1233"/>
    </row>
    <row r="35" spans="1:14" ht="9.75" customHeight="1">
      <c r="A35" s="1247" t="s">
        <v>282</v>
      </c>
      <c r="B35" s="1248"/>
      <c r="C35" s="1249" t="s">
        <v>760</v>
      </c>
      <c r="D35" s="1250">
        <v>29557</v>
      </c>
      <c r="E35" s="1251">
        <f>47909+1800</f>
        <v>49709</v>
      </c>
      <c r="F35" s="1251">
        <v>65994</v>
      </c>
      <c r="G35" s="1251">
        <v>65994</v>
      </c>
      <c r="H35" s="11"/>
      <c r="I35" s="1252" t="s">
        <v>314</v>
      </c>
      <c r="J35" s="2282" t="s">
        <v>758</v>
      </c>
      <c r="K35" s="2283"/>
      <c r="L35" s="1253">
        <f>68950*1.82</f>
        <v>125489</v>
      </c>
      <c r="M35" s="1254">
        <f>179465*1.4</f>
        <v>251250.99999999997</v>
      </c>
      <c r="N35" s="2"/>
    </row>
    <row r="36" spans="1:14" ht="9.75" customHeight="1" thickBot="1">
      <c r="A36" s="1255" t="s">
        <v>284</v>
      </c>
      <c r="B36" s="1007"/>
      <c r="C36" s="1256" t="s">
        <v>485</v>
      </c>
      <c r="D36" s="1257">
        <v>32799</v>
      </c>
      <c r="E36" s="1258">
        <f>52905+2000</f>
        <v>54905</v>
      </c>
      <c r="F36" s="1258">
        <v>78697</v>
      </c>
      <c r="G36" s="1258">
        <v>78697</v>
      </c>
      <c r="H36" s="11"/>
      <c r="I36" s="1255" t="s">
        <v>315</v>
      </c>
      <c r="J36" s="2259" t="s">
        <v>715</v>
      </c>
      <c r="K36" s="2260"/>
      <c r="L36" s="1259">
        <f>77624*1.82</f>
        <v>141275.68</v>
      </c>
      <c r="M36" s="1260">
        <f>225450*1.4</f>
        <v>315630</v>
      </c>
      <c r="N36" s="1238"/>
    </row>
    <row r="37" spans="1:14" ht="9.75" customHeight="1" thickBot="1">
      <c r="A37" s="1255" t="s">
        <v>285</v>
      </c>
      <c r="B37" s="7"/>
      <c r="C37" s="1256" t="s">
        <v>759</v>
      </c>
      <c r="D37" s="1257">
        <v>34876</v>
      </c>
      <c r="E37" s="1258">
        <f>56520+2500</f>
        <v>59020</v>
      </c>
      <c r="F37" s="1258">
        <v>83963</v>
      </c>
      <c r="G37" s="1258">
        <v>83963</v>
      </c>
      <c r="H37" s="11"/>
      <c r="I37" s="1261" t="s">
        <v>317</v>
      </c>
      <c r="J37" s="2268" t="s">
        <v>715</v>
      </c>
      <c r="K37" s="2269"/>
      <c r="L37" s="1262">
        <f>88578*1.82</f>
        <v>161211.96</v>
      </c>
      <c r="M37" s="1263">
        <f>237245*1.4</f>
        <v>332143</v>
      </c>
      <c r="N37" s="1264"/>
    </row>
    <row r="38" spans="1:14" ht="9.75" customHeight="1" thickBot="1">
      <c r="A38" s="1265" t="s">
        <v>287</v>
      </c>
      <c r="B38" s="1266"/>
      <c r="C38" s="1267" t="s">
        <v>759</v>
      </c>
      <c r="D38" s="1268">
        <v>37145</v>
      </c>
      <c r="E38" s="1269">
        <f>60207+2600</f>
        <v>62807</v>
      </c>
      <c r="F38" s="1269">
        <v>88209</v>
      </c>
      <c r="G38" s="1269">
        <v>88209</v>
      </c>
      <c r="H38" s="11"/>
      <c r="I38" s="1247" t="s">
        <v>319</v>
      </c>
      <c r="J38" s="2261" t="s">
        <v>716</v>
      </c>
      <c r="K38" s="2262"/>
      <c r="L38" s="1270">
        <f>78366*1.82</f>
        <v>142626.12</v>
      </c>
      <c r="M38" s="1271">
        <f>167022*1.35</f>
        <v>225479.7</v>
      </c>
      <c r="N38" s="1233"/>
    </row>
    <row r="39" spans="1:14" ht="9.75" customHeight="1">
      <c r="A39" s="1247" t="s">
        <v>288</v>
      </c>
      <c r="B39" s="1248"/>
      <c r="C39" s="1249" t="s">
        <v>760</v>
      </c>
      <c r="D39" s="1250">
        <v>22546</v>
      </c>
      <c r="E39" s="1251">
        <v>31340</v>
      </c>
      <c r="F39" s="1251">
        <v>45719</v>
      </c>
      <c r="G39" s="1251">
        <v>46077</v>
      </c>
      <c r="H39" s="11"/>
      <c r="I39" s="1255" t="s">
        <v>321</v>
      </c>
      <c r="J39" s="2259" t="s">
        <v>717</v>
      </c>
      <c r="K39" s="2260"/>
      <c r="L39" s="1259">
        <f>87900*1.82</f>
        <v>159978</v>
      </c>
      <c r="M39" s="1260">
        <f>206944*1.35</f>
        <v>279374.4</v>
      </c>
      <c r="N39" s="2"/>
    </row>
    <row r="40" spans="1:14" ht="9.75" customHeight="1">
      <c r="A40" s="1255" t="s">
        <v>290</v>
      </c>
      <c r="B40" s="1007"/>
      <c r="C40" s="1256" t="s">
        <v>485</v>
      </c>
      <c r="D40" s="1257">
        <v>24115</v>
      </c>
      <c r="E40" s="1258">
        <v>36609</v>
      </c>
      <c r="F40" s="1258">
        <v>58881</v>
      </c>
      <c r="G40" s="1258">
        <v>59283</v>
      </c>
      <c r="H40" s="11"/>
      <c r="I40" s="1255" t="s">
        <v>324</v>
      </c>
      <c r="J40" s="2259" t="s">
        <v>718</v>
      </c>
      <c r="K40" s="2260"/>
      <c r="L40" s="1259"/>
      <c r="M40" s="1260">
        <v>320842</v>
      </c>
      <c r="N40" s="2"/>
    </row>
    <row r="41" spans="1:14" ht="9.75" customHeight="1">
      <c r="A41" s="1255" t="s">
        <v>291</v>
      </c>
      <c r="B41" s="7"/>
      <c r="C41" s="1256" t="s">
        <v>759</v>
      </c>
      <c r="D41" s="1257">
        <v>25777</v>
      </c>
      <c r="E41" s="1258">
        <v>41893</v>
      </c>
      <c r="F41" s="1258">
        <v>65469</v>
      </c>
      <c r="G41" s="1258">
        <v>65916</v>
      </c>
      <c r="H41" s="11"/>
      <c r="I41" s="1255" t="s">
        <v>325</v>
      </c>
      <c r="J41" s="2259" t="s">
        <v>720</v>
      </c>
      <c r="K41" s="2260"/>
      <c r="L41" s="1259">
        <f>96963*1.82</f>
        <v>176472.66</v>
      </c>
      <c r="M41" s="1260">
        <f>263776*1.35</f>
        <v>356097.60000000003</v>
      </c>
      <c r="N41" s="2"/>
    </row>
    <row r="42" spans="1:14" ht="9.75" customHeight="1">
      <c r="A42" s="1255" t="s">
        <v>292</v>
      </c>
      <c r="B42" s="1007"/>
      <c r="C42" s="1256" t="s">
        <v>761</v>
      </c>
      <c r="D42" s="1257">
        <v>27554</v>
      </c>
      <c r="E42" s="1258">
        <v>47303</v>
      </c>
      <c r="F42" s="1258">
        <v>76044</v>
      </c>
      <c r="G42" s="1258">
        <v>76561</v>
      </c>
      <c r="H42" s="11"/>
      <c r="I42" s="1255" t="s">
        <v>327</v>
      </c>
      <c r="J42" s="2259" t="s">
        <v>721</v>
      </c>
      <c r="K42" s="2260"/>
      <c r="L42" s="1259">
        <f>100683*1.82</f>
        <v>183243.06</v>
      </c>
      <c r="M42" s="1260">
        <f>456143*1.3</f>
        <v>592985.9</v>
      </c>
      <c r="N42" s="2"/>
    </row>
    <row r="43" spans="1:14" ht="9.75" customHeight="1">
      <c r="A43" s="1255" t="s">
        <v>293</v>
      </c>
      <c r="B43" s="7"/>
      <c r="C43" s="1256" t="s">
        <v>487</v>
      </c>
      <c r="D43" s="1257">
        <v>29935</v>
      </c>
      <c r="E43" s="1258">
        <v>52733</v>
      </c>
      <c r="F43" s="1258">
        <v>84949</v>
      </c>
      <c r="G43" s="1258">
        <v>85523</v>
      </c>
      <c r="H43" s="11"/>
      <c r="I43" s="1255" t="s">
        <v>328</v>
      </c>
      <c r="J43" s="2259" t="s">
        <v>721</v>
      </c>
      <c r="K43" s="2260"/>
      <c r="L43" s="1259">
        <f>104863*1.82</f>
        <v>190850.66</v>
      </c>
      <c r="M43" s="1260">
        <f>460635*1.3</f>
        <v>598825.5</v>
      </c>
      <c r="N43" s="2"/>
    </row>
    <row r="44" spans="1:14" ht="9.75" customHeight="1" thickBot="1">
      <c r="A44" s="1255" t="s">
        <v>294</v>
      </c>
      <c r="B44" s="1007"/>
      <c r="C44" s="1256" t="s">
        <v>487</v>
      </c>
      <c r="D44" s="1257">
        <v>32885</v>
      </c>
      <c r="E44" s="1258">
        <v>57815</v>
      </c>
      <c r="F44" s="1258">
        <v>90132</v>
      </c>
      <c r="G44" s="1258">
        <v>90764</v>
      </c>
      <c r="H44" s="11"/>
      <c r="I44" s="1265" t="s">
        <v>329</v>
      </c>
      <c r="J44" s="2263" t="s">
        <v>721</v>
      </c>
      <c r="K44" s="2264"/>
      <c r="L44" s="1262">
        <f>111144*1.82</f>
        <v>202282.08000000002</v>
      </c>
      <c r="M44" s="1263">
        <f>467397*1.3</f>
        <v>607616.1</v>
      </c>
      <c r="N44" s="2"/>
    </row>
    <row r="45" spans="1:14" ht="9.75" customHeight="1" thickBot="1">
      <c r="A45" s="1255" t="s">
        <v>295</v>
      </c>
      <c r="B45" s="7"/>
      <c r="C45" s="1256" t="s">
        <v>487</v>
      </c>
      <c r="D45" s="1257">
        <v>34774</v>
      </c>
      <c r="E45" s="1258">
        <f>59048+2500</f>
        <v>61548</v>
      </c>
      <c r="F45" s="1258">
        <v>96009</v>
      </c>
      <c r="G45" s="1258">
        <v>96009</v>
      </c>
      <c r="H45" s="11"/>
      <c r="I45" s="1247" t="s">
        <v>330</v>
      </c>
      <c r="J45" s="2261" t="s">
        <v>720</v>
      </c>
      <c r="K45" s="2262"/>
      <c r="L45" s="1270">
        <f>116483*1.82</f>
        <v>211999.06</v>
      </c>
      <c r="M45" s="1271">
        <f>294994*1.3</f>
        <v>383492.2</v>
      </c>
      <c r="N45" s="2"/>
    </row>
    <row r="46" spans="1:14" ht="9.75" customHeight="1" thickBot="1">
      <c r="A46" s="1255" t="s">
        <v>296</v>
      </c>
      <c r="B46" s="1007"/>
      <c r="C46" s="1256" t="s">
        <v>488</v>
      </c>
      <c r="D46" s="1257">
        <v>37776</v>
      </c>
      <c r="E46" s="1258">
        <f>64148+2700</f>
        <v>66848</v>
      </c>
      <c r="F46" s="1258">
        <v>109108</v>
      </c>
      <c r="G46" s="1258">
        <v>109108</v>
      </c>
      <c r="H46" s="11"/>
      <c r="I46" s="1255" t="s">
        <v>331</v>
      </c>
      <c r="J46" s="2259" t="s">
        <v>721</v>
      </c>
      <c r="K46" s="2260"/>
      <c r="L46" s="1259">
        <f>125783*1.82</f>
        <v>228925.06</v>
      </c>
      <c r="M46" s="1260">
        <f>511763*1.3</f>
        <v>665291.9</v>
      </c>
      <c r="N46" s="1272"/>
    </row>
    <row r="47" spans="1:13" s="1276" customFormat="1" ht="9.75" customHeight="1" thickBot="1">
      <c r="A47" s="1261" t="s">
        <v>297</v>
      </c>
      <c r="B47" s="1273"/>
      <c r="C47" s="1274" t="s">
        <v>762</v>
      </c>
      <c r="D47" s="1275">
        <v>40646</v>
      </c>
      <c r="E47" s="1269">
        <f>69005+2800</f>
        <v>71805</v>
      </c>
      <c r="F47" s="1269">
        <v>124090</v>
      </c>
      <c r="G47" s="1269">
        <v>124090</v>
      </c>
      <c r="H47" s="11"/>
      <c r="I47" s="1255" t="s">
        <v>332</v>
      </c>
      <c r="J47" s="2259" t="s">
        <v>725</v>
      </c>
      <c r="K47" s="2260"/>
      <c r="L47" s="1259">
        <f>134859*1.82</f>
        <v>245443.38</v>
      </c>
      <c r="M47" s="1260">
        <f>542365*1.3</f>
        <v>705074.5</v>
      </c>
    </row>
    <row r="48" spans="1:14" ht="9.75" customHeight="1" thickBot="1">
      <c r="A48" s="1252" t="s">
        <v>298</v>
      </c>
      <c r="B48" s="1277"/>
      <c r="C48" s="1278" t="s">
        <v>761</v>
      </c>
      <c r="D48" s="1279">
        <v>28556</v>
      </c>
      <c r="E48" s="1251">
        <v>37400</v>
      </c>
      <c r="F48" s="1251">
        <v>65994</v>
      </c>
      <c r="G48" s="1251">
        <v>65994</v>
      </c>
      <c r="H48" s="11"/>
      <c r="I48" s="1261" t="s">
        <v>333</v>
      </c>
      <c r="J48" s="2268" t="s">
        <v>726</v>
      </c>
      <c r="K48" s="2269"/>
      <c r="L48" s="1262">
        <f>147867*1.82</f>
        <v>269117.94</v>
      </c>
      <c r="M48" s="1280" t="s">
        <v>248</v>
      </c>
      <c r="N48" s="2"/>
    </row>
    <row r="49" spans="1:14" ht="9.75" customHeight="1" thickBot="1">
      <c r="A49" s="1255" t="s">
        <v>299</v>
      </c>
      <c r="B49" s="7"/>
      <c r="C49" s="1256" t="s">
        <v>487</v>
      </c>
      <c r="D49" s="1257">
        <v>30440</v>
      </c>
      <c r="E49" s="1258">
        <v>41892</v>
      </c>
      <c r="F49" s="1258">
        <v>73504</v>
      </c>
      <c r="G49" s="1258">
        <v>73504</v>
      </c>
      <c r="H49" s="11"/>
      <c r="I49" s="1281" t="s">
        <v>334</v>
      </c>
      <c r="J49" s="2267" t="s">
        <v>726</v>
      </c>
      <c r="K49" s="2267"/>
      <c r="L49" s="1282" t="s">
        <v>248</v>
      </c>
      <c r="M49" s="1283" t="s">
        <v>248</v>
      </c>
      <c r="N49" s="2"/>
    </row>
    <row r="50" spans="1:14" ht="9.75" customHeight="1" thickBot="1">
      <c r="A50" s="1255" t="s">
        <v>300</v>
      </c>
      <c r="B50" s="1007"/>
      <c r="C50" s="1256" t="s">
        <v>762</v>
      </c>
      <c r="D50" s="1257">
        <v>33174</v>
      </c>
      <c r="E50" s="1258">
        <v>48946</v>
      </c>
      <c r="F50" s="1258">
        <v>98891</v>
      </c>
      <c r="G50" s="1258">
        <v>98891</v>
      </c>
      <c r="H50" s="11"/>
      <c r="I50" s="1281" t="s">
        <v>335</v>
      </c>
      <c r="J50" s="2267" t="s">
        <v>727</v>
      </c>
      <c r="K50" s="2267"/>
      <c r="L50" s="1282" t="s">
        <v>248</v>
      </c>
      <c r="M50" s="1283" t="s">
        <v>248</v>
      </c>
      <c r="N50" s="2"/>
    </row>
    <row r="51" spans="1:14" ht="9.75" customHeight="1" thickBot="1">
      <c r="A51" s="1255" t="s">
        <v>301</v>
      </c>
      <c r="B51" s="7"/>
      <c r="C51" s="1256" t="s">
        <v>763</v>
      </c>
      <c r="D51" s="1257">
        <v>38717</v>
      </c>
      <c r="E51" s="1258">
        <v>54144</v>
      </c>
      <c r="F51" s="1258">
        <v>112031</v>
      </c>
      <c r="G51" s="1258">
        <v>112031</v>
      </c>
      <c r="H51" s="11"/>
      <c r="I51" s="1281" t="s">
        <v>2051</v>
      </c>
      <c r="J51" s="2267" t="s">
        <v>728</v>
      </c>
      <c r="K51" s="2267"/>
      <c r="L51" s="1282" t="s">
        <v>248</v>
      </c>
      <c r="M51" s="1283" t="s">
        <v>248</v>
      </c>
      <c r="N51" s="2"/>
    </row>
    <row r="52" spans="1:14" ht="9.75" customHeight="1" thickBot="1">
      <c r="A52" s="1255" t="s">
        <v>302</v>
      </c>
      <c r="B52" s="1007"/>
      <c r="C52" s="1256" t="s">
        <v>763</v>
      </c>
      <c r="D52" s="1257">
        <v>40647</v>
      </c>
      <c r="E52" s="1258">
        <v>60506</v>
      </c>
      <c r="F52" s="1258">
        <v>118725</v>
      </c>
      <c r="G52" s="1258">
        <v>118725</v>
      </c>
      <c r="H52" s="11"/>
      <c r="I52" s="1281" t="s">
        <v>406</v>
      </c>
      <c r="J52" s="2267" t="s">
        <v>729</v>
      </c>
      <c r="K52" s="2267"/>
      <c r="L52" s="1282" t="s">
        <v>248</v>
      </c>
      <c r="M52" s="1284" t="s">
        <v>409</v>
      </c>
      <c r="N52" s="2"/>
    </row>
    <row r="53" spans="1:14" ht="9.75" customHeight="1" thickBot="1">
      <c r="A53" s="1255" t="s">
        <v>305</v>
      </c>
      <c r="B53" s="7"/>
      <c r="C53" s="1256" t="s">
        <v>764</v>
      </c>
      <c r="D53" s="1257">
        <v>44560</v>
      </c>
      <c r="E53" s="1258">
        <f>68769+2700</f>
        <v>71469</v>
      </c>
      <c r="F53" s="1258">
        <v>148305</v>
      </c>
      <c r="G53" s="1258">
        <v>148305</v>
      </c>
      <c r="H53" s="11"/>
      <c r="I53" s="1281" t="s">
        <v>407</v>
      </c>
      <c r="J53" s="2267" t="s">
        <v>730</v>
      </c>
      <c r="K53" s="2267"/>
      <c r="L53" s="1282" t="s">
        <v>248</v>
      </c>
      <c r="M53" s="1284" t="s">
        <v>408</v>
      </c>
      <c r="N53" s="2"/>
    </row>
    <row r="54" spans="1:14" ht="9.75" customHeight="1">
      <c r="A54" s="1255" t="s">
        <v>306</v>
      </c>
      <c r="B54" s="1007"/>
      <c r="C54" s="1256" t="s">
        <v>764</v>
      </c>
      <c r="D54" s="1257">
        <v>48906</v>
      </c>
      <c r="E54" s="1258">
        <f>75478+2850</f>
        <v>78328</v>
      </c>
      <c r="F54" s="1258">
        <v>155345</v>
      </c>
      <c r="G54" s="1258">
        <v>155345</v>
      </c>
      <c r="H54" s="11"/>
      <c r="I54" s="1247" t="s">
        <v>338</v>
      </c>
      <c r="J54" s="2261" t="s">
        <v>731</v>
      </c>
      <c r="K54" s="2262"/>
      <c r="L54" s="1270">
        <f>206832*1.07</f>
        <v>221310.24000000002</v>
      </c>
      <c r="M54" s="1285">
        <f>357718*1.07</f>
        <v>382758.26</v>
      </c>
      <c r="N54" s="2"/>
    </row>
    <row r="55" spans="1:14" ht="9.75" customHeight="1">
      <c r="A55" s="1255" t="s">
        <v>307</v>
      </c>
      <c r="B55" s="7"/>
      <c r="C55" s="1256" t="s">
        <v>764</v>
      </c>
      <c r="D55" s="1257">
        <v>52199</v>
      </c>
      <c r="E55" s="1258">
        <f>80560+3050</f>
        <v>83610</v>
      </c>
      <c r="F55" s="1258">
        <v>161310</v>
      </c>
      <c r="G55" s="1258">
        <v>161310</v>
      </c>
      <c r="H55" s="11"/>
      <c r="I55" s="1255" t="s">
        <v>339</v>
      </c>
      <c r="J55" s="2265" t="s">
        <v>720</v>
      </c>
      <c r="K55" s="2266"/>
      <c r="L55" s="1259">
        <f>206832*1.07</f>
        <v>221310.24000000002</v>
      </c>
      <c r="M55" s="1286">
        <f>341304*1.07</f>
        <v>365195.28</v>
      </c>
      <c r="N55" s="2"/>
    </row>
    <row r="56" spans="1:14" ht="9.75" customHeight="1" thickBot="1">
      <c r="A56" s="1261" t="s">
        <v>308</v>
      </c>
      <c r="B56" s="1038"/>
      <c r="C56" s="1274" t="s">
        <v>794</v>
      </c>
      <c r="D56" s="1275">
        <v>56640</v>
      </c>
      <c r="E56" s="1269">
        <f>87413+3300</f>
        <v>90713</v>
      </c>
      <c r="F56" s="1269">
        <v>178511</v>
      </c>
      <c r="G56" s="1269">
        <v>178511</v>
      </c>
      <c r="H56" s="11"/>
      <c r="I56" s="1255" t="s">
        <v>340</v>
      </c>
      <c r="J56" s="2265" t="s">
        <v>718</v>
      </c>
      <c r="K56" s="2266"/>
      <c r="L56" s="1259">
        <f>206832*1.07</f>
        <v>221310.24000000002</v>
      </c>
      <c r="M56" s="1286">
        <f>335398*1.07</f>
        <v>358875.86000000004</v>
      </c>
      <c r="N56" s="2"/>
    </row>
    <row r="57" spans="1:14" ht="9.75" customHeight="1">
      <c r="A57" s="1252" t="s">
        <v>310</v>
      </c>
      <c r="B57" s="7"/>
      <c r="C57" s="1278" t="s">
        <v>763</v>
      </c>
      <c r="D57" s="1287"/>
      <c r="E57" s="1288">
        <v>78000</v>
      </c>
      <c r="F57" s="1289">
        <f>113627*1.07</f>
        <v>121580.89000000001</v>
      </c>
      <c r="G57" s="1288">
        <v>142275</v>
      </c>
      <c r="H57" s="11"/>
      <c r="I57" s="1255" t="s">
        <v>341</v>
      </c>
      <c r="J57" s="2265" t="s">
        <v>756</v>
      </c>
      <c r="K57" s="2266"/>
      <c r="L57" s="1259">
        <f>394138*1.07</f>
        <v>421727.66000000003</v>
      </c>
      <c r="M57" s="1286">
        <f>916570*1.07</f>
        <v>980729.9</v>
      </c>
      <c r="N57" s="2"/>
    </row>
    <row r="58" spans="1:14" ht="9.75" customHeight="1" thickBot="1">
      <c r="A58" s="1255" t="s">
        <v>311</v>
      </c>
      <c r="B58" s="1266"/>
      <c r="C58" s="1256" t="s">
        <v>764</v>
      </c>
      <c r="D58" s="1209"/>
      <c r="E58" s="1290">
        <v>113000</v>
      </c>
      <c r="F58" s="1291">
        <f>139589*1.07</f>
        <v>149360.23</v>
      </c>
      <c r="G58" s="1290">
        <v>214170</v>
      </c>
      <c r="H58" s="11"/>
      <c r="I58" s="1261" t="s">
        <v>342</v>
      </c>
      <c r="J58" s="2268" t="s">
        <v>725</v>
      </c>
      <c r="K58" s="2269"/>
      <c r="L58" s="1262">
        <f>394138*1.07</f>
        <v>421727.66000000003</v>
      </c>
      <c r="M58" s="1292">
        <f>686722*1.07</f>
        <v>734792.54</v>
      </c>
      <c r="N58" s="2"/>
    </row>
    <row r="59" spans="1:14" ht="9.75" customHeight="1" thickBot="1">
      <c r="A59" s="1261" t="s">
        <v>312</v>
      </c>
      <c r="B59" s="1038"/>
      <c r="C59" s="1274" t="s">
        <v>765</v>
      </c>
      <c r="D59" s="1234"/>
      <c r="E59" s="1293">
        <f>63243*1.82</f>
        <v>115102.26000000001</v>
      </c>
      <c r="F59" s="1294">
        <f>164557*1.07</f>
        <v>176075.99000000002</v>
      </c>
      <c r="G59" s="1293">
        <f>164557*1.4</f>
        <v>230379.8</v>
      </c>
      <c r="H59" s="11"/>
      <c r="I59" s="1295" t="s">
        <v>343</v>
      </c>
      <c r="J59" s="2278" t="s">
        <v>757</v>
      </c>
      <c r="K59" s="2279"/>
      <c r="L59" s="1296">
        <f>395876*1.07</f>
        <v>423587.32</v>
      </c>
      <c r="M59" s="1297">
        <f>998120*1.07</f>
        <v>1067988.4000000001</v>
      </c>
      <c r="N59" s="2"/>
    </row>
    <row r="60" spans="1:14" ht="15.75" customHeight="1">
      <c r="A60" s="2280" t="s">
        <v>577</v>
      </c>
      <c r="B60" s="2280"/>
      <c r="C60" s="2280"/>
      <c r="D60" s="2280"/>
      <c r="E60" s="2280"/>
      <c r="F60" s="2280"/>
      <c r="G60" s="2280"/>
      <c r="H60" s="2280"/>
      <c r="I60" s="2280"/>
      <c r="J60" s="2280"/>
      <c r="K60" s="2280"/>
      <c r="L60" s="2280"/>
      <c r="M60" s="2280"/>
      <c r="N60" s="2"/>
    </row>
    <row r="61" spans="1:14" ht="9.75" customHeight="1">
      <c r="A61" s="2287" t="s">
        <v>158</v>
      </c>
      <c r="B61" s="2287"/>
      <c r="C61" s="2287"/>
      <c r="D61" s="2287"/>
      <c r="E61" s="2287"/>
      <c r="F61" s="2287"/>
      <c r="G61" s="2287"/>
      <c r="H61" s="2287"/>
      <c r="I61" s="2287"/>
      <c r="J61" s="2287"/>
      <c r="K61" s="2287"/>
      <c r="L61" s="2287"/>
      <c r="M61" s="2287"/>
      <c r="N61" s="2"/>
    </row>
    <row r="62" spans="1:14" ht="10.5" customHeight="1" thickBot="1">
      <c r="A62" s="1298" t="s">
        <v>1786</v>
      </c>
      <c r="B62" s="631"/>
      <c r="C62" s="631"/>
      <c r="D62" s="631"/>
      <c r="E62" s="631"/>
      <c r="F62" s="631"/>
      <c r="G62" s="631"/>
      <c r="H62" s="1299"/>
      <c r="I62" s="1298" t="s">
        <v>1787</v>
      </c>
      <c r="J62" s="631"/>
      <c r="K62" s="631"/>
      <c r="L62" s="1300"/>
      <c r="M62" s="1301" t="s">
        <v>1852</v>
      </c>
      <c r="N62" s="2"/>
    </row>
    <row r="63" spans="1:14" ht="9.75" customHeight="1" thickBot="1">
      <c r="A63" s="1302" t="s">
        <v>398</v>
      </c>
      <c r="B63" s="1302" t="s">
        <v>289</v>
      </c>
      <c r="C63" s="1302" t="s">
        <v>1964</v>
      </c>
      <c r="D63" s="1302"/>
      <c r="E63" s="1303" t="s">
        <v>1967</v>
      </c>
      <c r="F63" s="1304" t="s">
        <v>402</v>
      </c>
      <c r="G63" s="1305" t="s">
        <v>402</v>
      </c>
      <c r="H63" s="8"/>
      <c r="I63" s="1306" t="s">
        <v>398</v>
      </c>
      <c r="J63" s="1303" t="s">
        <v>688</v>
      </c>
      <c r="K63" s="1307" t="s">
        <v>1964</v>
      </c>
      <c r="L63" s="1308" t="s">
        <v>1967</v>
      </c>
      <c r="M63" s="1309" t="s">
        <v>1969</v>
      </c>
      <c r="N63" s="2"/>
    </row>
    <row r="64" spans="1:14" ht="9.75" customHeight="1" thickBot="1">
      <c r="A64" s="1310" t="s">
        <v>548</v>
      </c>
      <c r="B64" s="1311" t="s">
        <v>1830</v>
      </c>
      <c r="C64" s="1312" t="s">
        <v>1831</v>
      </c>
      <c r="D64" s="1312" t="s">
        <v>1832</v>
      </c>
      <c r="E64" s="1312" t="s">
        <v>1832</v>
      </c>
      <c r="F64" s="583">
        <v>21354</v>
      </c>
      <c r="G64" s="998">
        <v>8774</v>
      </c>
      <c r="H64" s="8"/>
      <c r="I64" s="571" t="s">
        <v>74</v>
      </c>
      <c r="J64" s="572">
        <v>2</v>
      </c>
      <c r="K64" s="573">
        <v>30</v>
      </c>
      <c r="L64" s="574">
        <v>1.1</v>
      </c>
      <c r="M64" s="1251">
        <v>25468</v>
      </c>
      <c r="N64" s="1272"/>
    </row>
    <row r="65" spans="1:13" ht="9.75" customHeight="1">
      <c r="A65" s="1313" t="s">
        <v>549</v>
      </c>
      <c r="B65" s="1314" t="s">
        <v>1830</v>
      </c>
      <c r="C65" s="1315" t="s">
        <v>1833</v>
      </c>
      <c r="D65" s="1315" t="s">
        <v>1832</v>
      </c>
      <c r="E65" s="1315" t="s">
        <v>1832</v>
      </c>
      <c r="F65" s="585">
        <v>35390</v>
      </c>
      <c r="G65" s="588">
        <v>10400</v>
      </c>
      <c r="H65" s="8"/>
      <c r="I65" s="575" t="s">
        <v>75</v>
      </c>
      <c r="J65" s="576">
        <v>2</v>
      </c>
      <c r="K65" s="577">
        <v>60</v>
      </c>
      <c r="L65" s="578">
        <v>1.5</v>
      </c>
      <c r="M65" s="1258">
        <v>36280</v>
      </c>
    </row>
    <row r="66" spans="1:14" ht="9.75" customHeight="1">
      <c r="A66" s="1313" t="s">
        <v>550</v>
      </c>
      <c r="B66" s="1314" t="s">
        <v>1830</v>
      </c>
      <c r="C66" s="1315" t="s">
        <v>1834</v>
      </c>
      <c r="D66" s="1315" t="s">
        <v>157</v>
      </c>
      <c r="E66" s="1315" t="s">
        <v>157</v>
      </c>
      <c r="F66" s="585">
        <v>39448</v>
      </c>
      <c r="G66" s="588">
        <v>10993</v>
      </c>
      <c r="H66" s="8"/>
      <c r="I66" s="575" t="s">
        <v>76</v>
      </c>
      <c r="J66" s="576">
        <v>2</v>
      </c>
      <c r="K66" s="577">
        <v>100</v>
      </c>
      <c r="L66" s="578">
        <v>2.2</v>
      </c>
      <c r="M66" s="1258">
        <v>41888</v>
      </c>
      <c r="N66" s="2"/>
    </row>
    <row r="67" spans="1:14" ht="9.75" customHeight="1">
      <c r="A67" s="1313" t="s">
        <v>551</v>
      </c>
      <c r="B67" s="1314" t="s">
        <v>1830</v>
      </c>
      <c r="C67" s="1315" t="s">
        <v>1835</v>
      </c>
      <c r="D67" s="1315" t="s">
        <v>1839</v>
      </c>
      <c r="E67" s="1315" t="s">
        <v>1839</v>
      </c>
      <c r="F67" s="585">
        <v>33844</v>
      </c>
      <c r="G67" s="588">
        <v>12774</v>
      </c>
      <c r="H67" s="8"/>
      <c r="I67" s="575" t="s">
        <v>77</v>
      </c>
      <c r="J67" s="576">
        <v>2</v>
      </c>
      <c r="K67" s="577">
        <v>120</v>
      </c>
      <c r="L67" s="578">
        <v>3</v>
      </c>
      <c r="M67" s="1258">
        <v>43962</v>
      </c>
      <c r="N67" s="2"/>
    </row>
    <row r="68" spans="1:14" ht="9.75" customHeight="1">
      <c r="A68" s="1313" t="s">
        <v>552</v>
      </c>
      <c r="B68" s="1314" t="s">
        <v>1959</v>
      </c>
      <c r="C68" s="1315" t="s">
        <v>1836</v>
      </c>
      <c r="D68" s="1315" t="s">
        <v>1832</v>
      </c>
      <c r="E68" s="1315" t="s">
        <v>1832</v>
      </c>
      <c r="F68" s="585">
        <v>36936</v>
      </c>
      <c r="G68" s="588">
        <v>9393</v>
      </c>
      <c r="H68" s="8"/>
      <c r="I68" s="575" t="s">
        <v>78</v>
      </c>
      <c r="J68" s="576">
        <v>4</v>
      </c>
      <c r="K68" s="577">
        <v>30</v>
      </c>
      <c r="L68" s="578">
        <v>1.1</v>
      </c>
      <c r="M68" s="1258">
        <v>26468</v>
      </c>
      <c r="N68" s="2"/>
    </row>
    <row r="69" spans="1:14" ht="9.75" customHeight="1">
      <c r="A69" s="1313" t="s">
        <v>553</v>
      </c>
      <c r="B69" s="1314" t="s">
        <v>1959</v>
      </c>
      <c r="C69" s="1315" t="s">
        <v>1837</v>
      </c>
      <c r="D69" s="1315" t="s">
        <v>157</v>
      </c>
      <c r="E69" s="1315" t="s">
        <v>157</v>
      </c>
      <c r="F69" s="585">
        <v>20624</v>
      </c>
      <c r="G69" s="588">
        <v>11045</v>
      </c>
      <c r="H69" s="8"/>
      <c r="I69" s="575" t="s">
        <v>79</v>
      </c>
      <c r="J69" s="576">
        <v>4</v>
      </c>
      <c r="K69" s="577">
        <v>100</v>
      </c>
      <c r="L69" s="578">
        <v>3</v>
      </c>
      <c r="M69" s="1258">
        <v>41888</v>
      </c>
      <c r="N69" s="2"/>
    </row>
    <row r="70" spans="1:14" ht="9.75" customHeight="1">
      <c r="A70" s="1313" t="s">
        <v>554</v>
      </c>
      <c r="B70" s="1314" t="s">
        <v>1959</v>
      </c>
      <c r="C70" s="1315" t="s">
        <v>1838</v>
      </c>
      <c r="D70" s="1315" t="s">
        <v>1839</v>
      </c>
      <c r="E70" s="1315" t="s">
        <v>1839</v>
      </c>
      <c r="F70" s="585">
        <v>33088</v>
      </c>
      <c r="G70" s="588">
        <v>12619</v>
      </c>
      <c r="H70" s="8"/>
      <c r="I70" s="575" t="s">
        <v>80</v>
      </c>
      <c r="J70" s="576">
        <v>4</v>
      </c>
      <c r="K70" s="577">
        <v>120</v>
      </c>
      <c r="L70" s="578">
        <v>3</v>
      </c>
      <c r="M70" s="1258">
        <v>43962</v>
      </c>
      <c r="N70" s="2"/>
    </row>
    <row r="71" spans="1:14" ht="9.75" customHeight="1">
      <c r="A71" s="1313" t="s">
        <v>555</v>
      </c>
      <c r="B71" s="1314" t="s">
        <v>1959</v>
      </c>
      <c r="C71" s="1315" t="s">
        <v>1840</v>
      </c>
      <c r="D71" s="1315" t="s">
        <v>1841</v>
      </c>
      <c r="E71" s="1315" t="s">
        <v>1841</v>
      </c>
      <c r="F71" s="585">
        <v>56178</v>
      </c>
      <c r="G71" s="588">
        <v>13703</v>
      </c>
      <c r="H71" s="8"/>
      <c r="I71" s="575" t="s">
        <v>81</v>
      </c>
      <c r="J71" s="576">
        <v>4</v>
      </c>
      <c r="K71" s="577">
        <v>160</v>
      </c>
      <c r="L71" s="578">
        <v>4</v>
      </c>
      <c r="M71" s="1258">
        <v>54485</v>
      </c>
      <c r="N71" s="2"/>
    </row>
    <row r="72" spans="1:14" ht="9.75" customHeight="1">
      <c r="A72" s="1313" t="s">
        <v>556</v>
      </c>
      <c r="B72" s="1314" t="s">
        <v>1842</v>
      </c>
      <c r="C72" s="1315" t="s">
        <v>1843</v>
      </c>
      <c r="D72" s="1315" t="s">
        <v>157</v>
      </c>
      <c r="E72" s="1315" t="s">
        <v>157</v>
      </c>
      <c r="F72" s="585">
        <v>69836</v>
      </c>
      <c r="G72" s="588">
        <v>11819</v>
      </c>
      <c r="H72" s="8"/>
      <c r="I72" s="575" t="s">
        <v>82</v>
      </c>
      <c r="J72" s="576">
        <v>6</v>
      </c>
      <c r="K72" s="577">
        <v>30</v>
      </c>
      <c r="L72" s="578">
        <v>1.5</v>
      </c>
      <c r="M72" s="1258">
        <v>28335</v>
      </c>
      <c r="N72" s="2"/>
    </row>
    <row r="73" spans="1:14" ht="9.75" customHeight="1">
      <c r="A73" s="1313" t="s">
        <v>557</v>
      </c>
      <c r="B73" s="1314" t="s">
        <v>1842</v>
      </c>
      <c r="C73" s="1315" t="s">
        <v>1844</v>
      </c>
      <c r="D73" s="1315" t="s">
        <v>1839</v>
      </c>
      <c r="E73" s="1315" t="s">
        <v>1839</v>
      </c>
      <c r="F73" s="585">
        <v>116556</v>
      </c>
      <c r="G73" s="588">
        <v>13238</v>
      </c>
      <c r="H73" s="8"/>
      <c r="I73" s="575" t="s">
        <v>83</v>
      </c>
      <c r="J73" s="576">
        <v>6</v>
      </c>
      <c r="K73" s="577">
        <v>40</v>
      </c>
      <c r="L73" s="578">
        <v>1.5</v>
      </c>
      <c r="M73" s="1258">
        <v>31240</v>
      </c>
      <c r="N73" s="2"/>
    </row>
    <row r="74" spans="1:14" ht="9.75" customHeight="1" thickBot="1">
      <c r="A74" s="1313" t="s">
        <v>558</v>
      </c>
      <c r="B74" s="1314" t="s">
        <v>1842</v>
      </c>
      <c r="C74" s="1315" t="s">
        <v>1834</v>
      </c>
      <c r="D74" s="1315" t="s">
        <v>1841</v>
      </c>
      <c r="E74" s="1315" t="s">
        <v>1841</v>
      </c>
      <c r="F74" s="585">
        <v>170264</v>
      </c>
      <c r="G74" s="588">
        <v>15380</v>
      </c>
      <c r="H74" s="8"/>
      <c r="I74" s="575" t="s">
        <v>84</v>
      </c>
      <c r="J74" s="576">
        <v>8</v>
      </c>
      <c r="K74" s="577">
        <v>30</v>
      </c>
      <c r="L74" s="578">
        <v>3</v>
      </c>
      <c r="M74" s="1258">
        <v>30951</v>
      </c>
      <c r="N74" s="2"/>
    </row>
    <row r="75" spans="1:14" ht="9.75" customHeight="1" thickBot="1">
      <c r="A75" s="1316" t="s">
        <v>559</v>
      </c>
      <c r="B75" s="1317" t="s">
        <v>1842</v>
      </c>
      <c r="C75" s="1318" t="s">
        <v>1845</v>
      </c>
      <c r="D75" s="1318" t="s">
        <v>1846</v>
      </c>
      <c r="E75" s="1318" t="s">
        <v>1846</v>
      </c>
      <c r="F75" s="1039">
        <v>207242</v>
      </c>
      <c r="G75" s="1072">
        <v>17238</v>
      </c>
      <c r="H75" s="8"/>
      <c r="I75" s="575" t="s">
        <v>85</v>
      </c>
      <c r="J75" s="576">
        <v>8</v>
      </c>
      <c r="K75" s="577">
        <v>40</v>
      </c>
      <c r="L75" s="578">
        <v>3</v>
      </c>
      <c r="M75" s="1258">
        <v>32888</v>
      </c>
      <c r="N75" s="1272"/>
    </row>
    <row r="76" spans="1:14" ht="9.75" customHeight="1" thickBot="1">
      <c r="A76" s="1319"/>
      <c r="B76" s="1211"/>
      <c r="C76" s="1211"/>
      <c r="D76" s="1211"/>
      <c r="E76" s="1211"/>
      <c r="F76" s="1211"/>
      <c r="G76" s="1212"/>
      <c r="H76" s="8"/>
      <c r="I76" s="575" t="s">
        <v>86</v>
      </c>
      <c r="J76" s="576">
        <v>10</v>
      </c>
      <c r="K76" s="577">
        <v>40</v>
      </c>
      <c r="L76" s="578">
        <v>3</v>
      </c>
      <c r="M76" s="1258">
        <v>31461</v>
      </c>
      <c r="N76" s="2"/>
    </row>
    <row r="77" spans="1:14" ht="11.25" customHeight="1" thickBot="1">
      <c r="A77" s="1165" t="s">
        <v>62</v>
      </c>
      <c r="B77" s="1165"/>
      <c r="C77" s="1165"/>
      <c r="D77" s="1165"/>
      <c r="E77" s="1165"/>
      <c r="F77" s="1167"/>
      <c r="G77" s="1320"/>
      <c r="H77" s="8"/>
      <c r="I77" s="575" t="s">
        <v>87</v>
      </c>
      <c r="J77" s="576">
        <v>10</v>
      </c>
      <c r="K77" s="577">
        <v>80</v>
      </c>
      <c r="L77" s="578">
        <v>5.5</v>
      </c>
      <c r="M77" s="1258">
        <v>42805</v>
      </c>
      <c r="N77" s="2"/>
    </row>
    <row r="78" spans="1:14" ht="9.75" customHeight="1" thickBot="1">
      <c r="A78" s="1321" t="s">
        <v>398</v>
      </c>
      <c r="B78" s="1322" t="s">
        <v>1788</v>
      </c>
      <c r="C78" s="1323" t="s">
        <v>1964</v>
      </c>
      <c r="D78" s="1323"/>
      <c r="E78" s="1245" t="s">
        <v>1967</v>
      </c>
      <c r="F78" s="1324" t="s">
        <v>92</v>
      </c>
      <c r="G78" s="1324" t="s">
        <v>812</v>
      </c>
      <c r="H78" s="8"/>
      <c r="I78" s="579" t="s">
        <v>88</v>
      </c>
      <c r="J78" s="580">
        <v>10</v>
      </c>
      <c r="K78" s="581">
        <v>100</v>
      </c>
      <c r="L78" s="582">
        <v>5.5</v>
      </c>
      <c r="M78" s="1269">
        <v>51846</v>
      </c>
      <c r="N78" s="2"/>
    </row>
    <row r="79" spans="1:14" ht="9.75" customHeight="1" thickBot="1">
      <c r="A79" s="1086" t="s">
        <v>90</v>
      </c>
      <c r="B79" s="583">
        <v>1</v>
      </c>
      <c r="C79" s="583">
        <v>12</v>
      </c>
      <c r="D79" s="583"/>
      <c r="E79" s="583">
        <v>0.37</v>
      </c>
      <c r="F79" s="584">
        <v>357</v>
      </c>
      <c r="G79" s="1325">
        <v>14909</v>
      </c>
      <c r="H79" s="8"/>
      <c r="I79" s="2273" t="s">
        <v>243</v>
      </c>
      <c r="J79" s="2253"/>
      <c r="K79" s="2253"/>
      <c r="L79" s="2253"/>
      <c r="M79" s="2274"/>
      <c r="N79" s="2"/>
    </row>
    <row r="80" spans="1:14" ht="9.75" customHeight="1" thickBot="1">
      <c r="A80" s="1065" t="s">
        <v>813</v>
      </c>
      <c r="B80" s="585">
        <v>3</v>
      </c>
      <c r="C80" s="585">
        <v>60</v>
      </c>
      <c r="D80" s="585"/>
      <c r="E80" s="585">
        <v>1.1</v>
      </c>
      <c r="F80" s="586">
        <v>503</v>
      </c>
      <c r="G80" s="1138">
        <v>23371</v>
      </c>
      <c r="H80" s="8"/>
      <c r="I80" s="1165" t="s">
        <v>60</v>
      </c>
      <c r="J80" s="1165"/>
      <c r="K80" s="1165"/>
      <c r="L80" s="1326"/>
      <c r="M80" s="1326"/>
      <c r="N80" s="2"/>
    </row>
    <row r="81" spans="1:14" ht="9.75" customHeight="1" thickBot="1">
      <c r="A81" s="1065" t="s">
        <v>814</v>
      </c>
      <c r="B81" s="585">
        <v>3</v>
      </c>
      <c r="C81" s="585">
        <v>122</v>
      </c>
      <c r="D81" s="585"/>
      <c r="E81" s="585">
        <v>2.2</v>
      </c>
      <c r="F81" s="586">
        <v>865</v>
      </c>
      <c r="G81" s="1138">
        <v>41969</v>
      </c>
      <c r="H81" s="8"/>
      <c r="I81" s="1327" t="s">
        <v>398</v>
      </c>
      <c r="J81" s="1303" t="s">
        <v>688</v>
      </c>
      <c r="K81" s="1321" t="s">
        <v>1964</v>
      </c>
      <c r="L81" s="1245" t="s">
        <v>1967</v>
      </c>
      <c r="M81" s="1328" t="s">
        <v>1969</v>
      </c>
      <c r="N81" s="2"/>
    </row>
    <row r="82" spans="1:14" ht="9.75" customHeight="1">
      <c r="A82" s="1065" t="s">
        <v>815</v>
      </c>
      <c r="B82" s="585">
        <v>5</v>
      </c>
      <c r="C82" s="585">
        <v>100</v>
      </c>
      <c r="D82" s="585"/>
      <c r="E82" s="585">
        <v>3</v>
      </c>
      <c r="F82" s="586">
        <v>676</v>
      </c>
      <c r="G82" s="1138">
        <v>39489</v>
      </c>
      <c r="H82" s="8"/>
      <c r="I82" s="1247" t="s">
        <v>821</v>
      </c>
      <c r="J82" s="1329">
        <v>1.8</v>
      </c>
      <c r="K82" s="1329">
        <v>77</v>
      </c>
      <c r="L82" s="1249">
        <v>1.1</v>
      </c>
      <c r="M82" s="1271">
        <v>29492</v>
      </c>
      <c r="N82" s="2"/>
    </row>
    <row r="83" spans="1:14" ht="9.75" customHeight="1">
      <c r="A83" s="1065" t="s">
        <v>816</v>
      </c>
      <c r="B83" s="585">
        <v>10</v>
      </c>
      <c r="C83" s="585">
        <v>82</v>
      </c>
      <c r="D83" s="585"/>
      <c r="E83" s="585">
        <v>4</v>
      </c>
      <c r="F83" s="586">
        <v>1135</v>
      </c>
      <c r="G83" s="1138">
        <v>53747</v>
      </c>
      <c r="H83" s="8"/>
      <c r="I83" s="1255" t="s">
        <v>822</v>
      </c>
      <c r="J83" s="1330">
        <v>3</v>
      </c>
      <c r="K83" s="1330">
        <v>80</v>
      </c>
      <c r="L83" s="1256">
        <v>1.5</v>
      </c>
      <c r="M83" s="1260">
        <v>32830</v>
      </c>
      <c r="N83" s="2"/>
    </row>
    <row r="84" spans="1:14" ht="9.75" customHeight="1">
      <c r="A84" s="1065" t="s">
        <v>692</v>
      </c>
      <c r="B84" s="585">
        <v>15</v>
      </c>
      <c r="C84" s="585">
        <v>71</v>
      </c>
      <c r="D84" s="585"/>
      <c r="E84" s="585">
        <v>5.5</v>
      </c>
      <c r="F84" s="586">
        <v>2636</v>
      </c>
      <c r="G84" s="1138">
        <v>58768</v>
      </c>
      <c r="H84" s="8"/>
      <c r="I84" s="1255" t="s">
        <v>823</v>
      </c>
      <c r="J84" s="1330">
        <v>3.6</v>
      </c>
      <c r="K84" s="1330">
        <v>114.3</v>
      </c>
      <c r="L84" s="1256">
        <v>2.2</v>
      </c>
      <c r="M84" s="1260">
        <v>43543</v>
      </c>
      <c r="N84" s="2"/>
    </row>
    <row r="85" spans="1:14" ht="9.75" customHeight="1">
      <c r="A85" s="1065" t="s">
        <v>693</v>
      </c>
      <c r="B85" s="585">
        <v>20</v>
      </c>
      <c r="C85" s="585">
        <v>72</v>
      </c>
      <c r="D85" s="585"/>
      <c r="E85" s="585">
        <v>7.5</v>
      </c>
      <c r="F85" s="586">
        <v>766</v>
      </c>
      <c r="G85" s="1138">
        <v>75755</v>
      </c>
      <c r="H85" s="8"/>
      <c r="I85" s="1255" t="s">
        <v>824</v>
      </c>
      <c r="J85" s="1256">
        <v>8.4</v>
      </c>
      <c r="K85" s="1256">
        <v>65</v>
      </c>
      <c r="L85" s="1256">
        <v>3</v>
      </c>
      <c r="M85" s="1260">
        <v>74418</v>
      </c>
      <c r="N85" s="2"/>
    </row>
    <row r="86" spans="1:14" ht="9.75" customHeight="1">
      <c r="A86" s="1065" t="s">
        <v>817</v>
      </c>
      <c r="B86" s="585">
        <v>32</v>
      </c>
      <c r="C86" s="585">
        <v>72</v>
      </c>
      <c r="D86" s="585"/>
      <c r="E86" s="585">
        <v>11</v>
      </c>
      <c r="F86" s="586">
        <v>2863</v>
      </c>
      <c r="G86" s="1138">
        <v>112206</v>
      </c>
      <c r="H86" s="8"/>
      <c r="I86" s="1255" t="s">
        <v>825</v>
      </c>
      <c r="J86" s="1256">
        <v>8.4</v>
      </c>
      <c r="K86" s="1256">
        <v>85</v>
      </c>
      <c r="L86" s="1256">
        <v>4</v>
      </c>
      <c r="M86" s="1260">
        <v>84542</v>
      </c>
      <c r="N86" s="2"/>
    </row>
    <row r="87" spans="1:14" ht="9.75" customHeight="1">
      <c r="A87" s="1065" t="s">
        <v>818</v>
      </c>
      <c r="B87" s="585">
        <v>45</v>
      </c>
      <c r="C87" s="585">
        <v>100</v>
      </c>
      <c r="D87" s="585"/>
      <c r="E87" s="585">
        <v>15</v>
      </c>
      <c r="F87" s="586">
        <v>6064</v>
      </c>
      <c r="G87" s="1138">
        <v>133438</v>
      </c>
      <c r="H87" s="8"/>
      <c r="I87" s="1255" t="s">
        <v>826</v>
      </c>
      <c r="J87" s="1256">
        <v>12</v>
      </c>
      <c r="K87" s="1256">
        <v>72.3</v>
      </c>
      <c r="L87" s="1256">
        <v>5.5</v>
      </c>
      <c r="M87" s="1260">
        <v>111176</v>
      </c>
      <c r="N87" s="2"/>
    </row>
    <row r="88" spans="1:14" ht="9" customHeight="1" thickBot="1">
      <c r="A88" s="1065" t="s">
        <v>819</v>
      </c>
      <c r="B88" s="585">
        <v>64</v>
      </c>
      <c r="C88" s="585">
        <v>69</v>
      </c>
      <c r="D88" s="585"/>
      <c r="E88" s="585">
        <v>18.5</v>
      </c>
      <c r="F88" s="586">
        <v>1644</v>
      </c>
      <c r="G88" s="1138">
        <v>155662</v>
      </c>
      <c r="H88" s="8"/>
      <c r="I88" s="1255" t="s">
        <v>827</v>
      </c>
      <c r="J88" s="1256">
        <v>8.4</v>
      </c>
      <c r="K88" s="1256">
        <v>102</v>
      </c>
      <c r="L88" s="1256">
        <v>7.5</v>
      </c>
      <c r="M88" s="1260">
        <v>116530</v>
      </c>
      <c r="N88" s="1238"/>
    </row>
    <row r="89" spans="1:14" ht="9" customHeight="1">
      <c r="A89" s="1065" t="s">
        <v>91</v>
      </c>
      <c r="B89" s="585">
        <v>90</v>
      </c>
      <c r="C89" s="585">
        <v>65</v>
      </c>
      <c r="D89" s="585"/>
      <c r="E89" s="585">
        <v>22</v>
      </c>
      <c r="F89" s="586">
        <v>4531</v>
      </c>
      <c r="G89" s="1138">
        <v>186441</v>
      </c>
      <c r="H89" s="8"/>
      <c r="I89" s="1255" t="s">
        <v>828</v>
      </c>
      <c r="J89" s="1256">
        <v>18</v>
      </c>
      <c r="K89" s="1256">
        <v>100</v>
      </c>
      <c r="L89" s="1256">
        <v>11</v>
      </c>
      <c r="M89" s="1260">
        <v>111809</v>
      </c>
      <c r="N89" s="2"/>
    </row>
    <row r="90" spans="1:13" ht="9" customHeight="1" thickBot="1">
      <c r="A90" s="1078" t="s">
        <v>820</v>
      </c>
      <c r="B90" s="1039">
        <v>90</v>
      </c>
      <c r="C90" s="1039">
        <v>135</v>
      </c>
      <c r="D90" s="1039"/>
      <c r="E90" s="1039">
        <v>45</v>
      </c>
      <c r="F90" s="1040">
        <v>7519</v>
      </c>
      <c r="G90" s="1149">
        <v>315261</v>
      </c>
      <c r="H90" s="8"/>
      <c r="I90" s="1261" t="s">
        <v>769</v>
      </c>
      <c r="J90" s="1274">
        <v>8.4</v>
      </c>
      <c r="K90" s="1274">
        <v>179</v>
      </c>
      <c r="L90" s="1274">
        <v>15</v>
      </c>
      <c r="M90" s="1263">
        <v>182784</v>
      </c>
    </row>
    <row r="91" spans="1:13" ht="20.25" customHeight="1">
      <c r="A91" s="2284" t="s">
        <v>734</v>
      </c>
      <c r="B91" s="2284"/>
      <c r="C91" s="2284"/>
      <c r="D91" s="2284"/>
      <c r="E91" s="2284"/>
      <c r="F91" s="2284"/>
      <c r="G91" s="2284"/>
      <c r="H91" s="2284"/>
      <c r="I91" s="2284"/>
      <c r="J91" s="2284"/>
      <c r="K91" s="2284"/>
      <c r="L91" s="2284"/>
      <c r="M91" s="2284"/>
    </row>
    <row r="112" spans="9:13" ht="9" customHeight="1">
      <c r="I112" s="2"/>
      <c r="J112" s="1333"/>
      <c r="K112" s="1333"/>
      <c r="L112" s="1334"/>
      <c r="M112" s="1335"/>
    </row>
    <row r="113" spans="9:13" ht="9" customHeight="1">
      <c r="I113" s="2"/>
      <c r="J113" s="1333"/>
      <c r="K113" s="1333"/>
      <c r="L113" s="1334"/>
      <c r="M113" s="1335"/>
    </row>
    <row r="114" spans="9:13" ht="9" customHeight="1">
      <c r="I114" s="2"/>
      <c r="J114" s="1333"/>
      <c r="K114" s="1333"/>
      <c r="L114" s="1334"/>
      <c r="M114" s="1335"/>
    </row>
    <row r="115" spans="9:13" ht="9" customHeight="1">
      <c r="I115" s="2"/>
      <c r="J115" s="1333"/>
      <c r="K115" s="1333"/>
      <c r="L115" s="1334"/>
      <c r="M115" s="1335"/>
    </row>
    <row r="116" spans="9:13" ht="9" customHeight="1">
      <c r="I116" s="2"/>
      <c r="J116" s="1333"/>
      <c r="K116" s="1333"/>
      <c r="L116" s="1334"/>
      <c r="M116" s="1335"/>
    </row>
    <row r="117" spans="9:13" ht="9" customHeight="1">
      <c r="I117" s="2"/>
      <c r="J117" s="1333"/>
      <c r="K117" s="1333"/>
      <c r="L117" s="1334"/>
      <c r="M117" s="1335"/>
    </row>
    <row r="123" ht="9" customHeight="1" thickBot="1">
      <c r="N123" s="1336">
        <v>36786</v>
      </c>
    </row>
    <row r="124" ht="9" customHeight="1">
      <c r="N124" s="1333"/>
    </row>
    <row r="125" ht="9" customHeight="1">
      <c r="N125" s="1333"/>
    </row>
    <row r="126" ht="9" customHeight="1">
      <c r="N126" s="1333"/>
    </row>
    <row r="127" ht="9" customHeight="1">
      <c r="N127" s="1333"/>
    </row>
    <row r="128" ht="9" customHeight="1">
      <c r="N128" s="1333"/>
    </row>
    <row r="129" ht="9" customHeight="1">
      <c r="N129" s="1333"/>
    </row>
    <row r="130" ht="9" customHeight="1">
      <c r="N130" s="1337" t="s">
        <v>397</v>
      </c>
    </row>
  </sheetData>
  <sheetProtection/>
  <mergeCells count="39">
    <mergeCell ref="A91:M91"/>
    <mergeCell ref="I22:M22"/>
    <mergeCell ref="J36:K36"/>
    <mergeCell ref="J34:K34"/>
    <mergeCell ref="J39:K39"/>
    <mergeCell ref="J49:K49"/>
    <mergeCell ref="J38:K38"/>
    <mergeCell ref="J42:K42"/>
    <mergeCell ref="A60:M60"/>
    <mergeCell ref="A61:M61"/>
    <mergeCell ref="I79:M79"/>
    <mergeCell ref="A18:G18"/>
    <mergeCell ref="J59:K59"/>
    <mergeCell ref="J43:K43"/>
    <mergeCell ref="J37:K37"/>
    <mergeCell ref="A33:M33"/>
    <mergeCell ref="J35:K35"/>
    <mergeCell ref="J58:K58"/>
    <mergeCell ref="J40:K40"/>
    <mergeCell ref="J57:K57"/>
    <mergeCell ref="I3:J3"/>
    <mergeCell ref="A2:M2"/>
    <mergeCell ref="A3:B3"/>
    <mergeCell ref="A28:G28"/>
    <mergeCell ref="I26:M26"/>
    <mergeCell ref="I18:M18"/>
    <mergeCell ref="J55:K55"/>
    <mergeCell ref="J53:K53"/>
    <mergeCell ref="J56:K56"/>
    <mergeCell ref="J47:K47"/>
    <mergeCell ref="J52:K52"/>
    <mergeCell ref="J48:K48"/>
    <mergeCell ref="J50:K50"/>
    <mergeCell ref="J51:K51"/>
    <mergeCell ref="J41:K41"/>
    <mergeCell ref="J45:K45"/>
    <mergeCell ref="J44:K44"/>
    <mergeCell ref="J54:K54"/>
    <mergeCell ref="J46:K46"/>
  </mergeCells>
  <printOptions horizontalCentered="1" verticalCentered="1"/>
  <pageMargins left="0" right="0" top="0" bottom="0" header="0" footer="0"/>
  <pageSetup horizontalDpi="600" verticalDpi="600" orientation="portrait" paperSize="9" scale="90" r:id="rId1"/>
  <headerFooter alignWithMargins="0">
    <oddFooter>&amp;L01.03.2011г. &amp;Rстр. 3 из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80" zoomScaleSheetLayoutView="80" zoomScalePageLayoutView="0" workbookViewId="0" topLeftCell="A1">
      <selection activeCell="C57" sqref="C57"/>
    </sheetView>
  </sheetViews>
  <sheetFormatPr defaultColWidth="9.00390625" defaultRowHeight="12.75"/>
  <cols>
    <col min="1" max="1" width="25.875" style="1338" customWidth="1"/>
    <col min="2" max="2" width="15.75390625" style="1338" customWidth="1"/>
    <col min="3" max="3" width="13.875" style="1338" customWidth="1"/>
    <col min="4" max="4" width="11.75390625" style="1338" customWidth="1"/>
    <col min="5" max="5" width="15.125" style="1338" customWidth="1"/>
    <col min="6" max="6" width="13.125" style="1338" customWidth="1"/>
    <col min="7" max="7" width="13.00390625" style="1338" customWidth="1"/>
    <col min="8" max="8" width="12.375" style="1338" customWidth="1"/>
    <col min="9" max="9" width="11.875" style="1338" customWidth="1"/>
    <col min="10" max="10" width="12.625" style="1338" customWidth="1"/>
    <col min="11" max="16384" width="9.125" style="1338" customWidth="1"/>
  </cols>
  <sheetData>
    <row r="1" spans="1:10" ht="21">
      <c r="A1" s="2291" t="s">
        <v>863</v>
      </c>
      <c r="B1" s="2291"/>
      <c r="C1" s="2291"/>
      <c r="D1" s="2291"/>
      <c r="E1" s="2291"/>
      <c r="F1" s="2291"/>
      <c r="G1" s="2291"/>
      <c r="H1" s="2291"/>
      <c r="I1" s="2291"/>
      <c r="J1" s="2291"/>
    </row>
    <row r="2" spans="1:10" ht="19.5">
      <c r="A2" s="2292" t="s">
        <v>864</v>
      </c>
      <c r="B2" s="2292"/>
      <c r="C2" s="2292"/>
      <c r="D2" s="2292"/>
      <c r="E2" s="2292"/>
      <c r="F2" s="2292"/>
      <c r="G2" s="2292"/>
      <c r="H2" s="2292"/>
      <c r="I2" s="2292"/>
      <c r="J2" s="2292"/>
    </row>
    <row r="3" spans="1:10" ht="22.5">
      <c r="A3" s="1339" t="s">
        <v>865</v>
      </c>
      <c r="B3" s="1340"/>
      <c r="C3" s="1341"/>
      <c r="D3" s="1341"/>
      <c r="E3" s="1341"/>
      <c r="F3" s="1342" t="s">
        <v>1645</v>
      </c>
      <c r="G3" s="1343"/>
      <c r="H3" s="1343"/>
      <c r="I3" s="1343"/>
      <c r="J3" s="1344"/>
    </row>
    <row r="4" spans="1:10" ht="17.25" customHeight="1" thickBot="1">
      <c r="A4" s="2293" t="s">
        <v>391</v>
      </c>
      <c r="B4" s="2293"/>
      <c r="C4" s="2293"/>
      <c r="D4" s="2293"/>
      <c r="E4" s="2293"/>
      <c r="F4" s="2293"/>
      <c r="G4" s="2293"/>
      <c r="H4" s="2293"/>
      <c r="I4" s="2293"/>
      <c r="J4" s="2293"/>
    </row>
    <row r="5" spans="1:10" s="1346" customFormat="1" ht="36.75" thickBot="1">
      <c r="A5" s="1345" t="s">
        <v>505</v>
      </c>
      <c r="B5" s="1345" t="s">
        <v>1776</v>
      </c>
      <c r="C5" s="1345" t="s">
        <v>810</v>
      </c>
      <c r="D5" s="1345" t="s">
        <v>1909</v>
      </c>
      <c r="E5" s="1345" t="s">
        <v>1908</v>
      </c>
      <c r="F5" s="1345" t="s">
        <v>660</v>
      </c>
      <c r="G5" s="1345" t="s">
        <v>192</v>
      </c>
      <c r="H5" s="1345" t="s">
        <v>874</v>
      </c>
      <c r="I5" s="1345" t="s">
        <v>873</v>
      </c>
      <c r="J5" s="1345" t="s">
        <v>661</v>
      </c>
    </row>
    <row r="6" spans="1:10" ht="12" customHeight="1">
      <c r="A6" s="1347" t="s">
        <v>1902</v>
      </c>
      <c r="B6" s="541" t="s">
        <v>829</v>
      </c>
      <c r="C6" s="541" t="s">
        <v>829</v>
      </c>
      <c r="D6" s="541" t="s">
        <v>829</v>
      </c>
      <c r="E6" s="541" t="s">
        <v>829</v>
      </c>
      <c r="F6" s="541" t="s">
        <v>829</v>
      </c>
      <c r="G6" s="541" t="s">
        <v>829</v>
      </c>
      <c r="H6" s="541" t="s">
        <v>829</v>
      </c>
      <c r="I6" s="541" t="s">
        <v>829</v>
      </c>
      <c r="J6" s="541" t="s">
        <v>829</v>
      </c>
    </row>
    <row r="7" spans="1:10" ht="12" customHeight="1">
      <c r="A7" s="1348" t="s">
        <v>1903</v>
      </c>
      <c r="B7" s="539" t="s">
        <v>829</v>
      </c>
      <c r="C7" s="539" t="s">
        <v>829</v>
      </c>
      <c r="D7" s="539" t="s">
        <v>829</v>
      </c>
      <c r="E7" s="539" t="s">
        <v>829</v>
      </c>
      <c r="F7" s="539" t="s">
        <v>829</v>
      </c>
      <c r="G7" s="539" t="s">
        <v>829</v>
      </c>
      <c r="H7" s="539" t="s">
        <v>829</v>
      </c>
      <c r="I7" s="539" t="s">
        <v>829</v>
      </c>
      <c r="J7" s="539" t="s">
        <v>829</v>
      </c>
    </row>
    <row r="8" spans="1:10" ht="12" customHeight="1">
      <c r="A8" s="1348" t="s">
        <v>1904</v>
      </c>
      <c r="B8" s="539" t="s">
        <v>829</v>
      </c>
      <c r="C8" s="539" t="s">
        <v>829</v>
      </c>
      <c r="D8" s="539" t="s">
        <v>829</v>
      </c>
      <c r="E8" s="539" t="s">
        <v>829</v>
      </c>
      <c r="F8" s="539" t="s">
        <v>829</v>
      </c>
      <c r="G8" s="539" t="s">
        <v>829</v>
      </c>
      <c r="H8" s="539" t="s">
        <v>829</v>
      </c>
      <c r="I8" s="539" t="s">
        <v>829</v>
      </c>
      <c r="J8" s="539" t="s">
        <v>829</v>
      </c>
    </row>
    <row r="9" spans="1:10" ht="12" customHeight="1">
      <c r="A9" s="1348" t="s">
        <v>1905</v>
      </c>
      <c r="B9" s="539" t="s">
        <v>829</v>
      </c>
      <c r="C9" s="539" t="s">
        <v>829</v>
      </c>
      <c r="D9" s="539" t="s">
        <v>829</v>
      </c>
      <c r="E9" s="539" t="s">
        <v>829</v>
      </c>
      <c r="F9" s="539" t="s">
        <v>829</v>
      </c>
      <c r="G9" s="539" t="s">
        <v>829</v>
      </c>
      <c r="H9" s="539" t="s">
        <v>829</v>
      </c>
      <c r="I9" s="539" t="s">
        <v>829</v>
      </c>
      <c r="J9" s="539" t="s">
        <v>829</v>
      </c>
    </row>
    <row r="10" spans="1:10" ht="12" customHeight="1">
      <c r="A10" s="1348" t="s">
        <v>1906</v>
      </c>
      <c r="B10" s="539" t="s">
        <v>829</v>
      </c>
      <c r="C10" s="539">
        <v>35364</v>
      </c>
      <c r="D10" s="539">
        <v>15930</v>
      </c>
      <c r="E10" s="539">
        <v>20868</v>
      </c>
      <c r="F10" s="539" t="s">
        <v>829</v>
      </c>
      <c r="G10" s="539" t="s">
        <v>829</v>
      </c>
      <c r="H10" s="539" t="s">
        <v>829</v>
      </c>
      <c r="I10" s="539" t="s">
        <v>829</v>
      </c>
      <c r="J10" s="539" t="s">
        <v>829</v>
      </c>
    </row>
    <row r="11" spans="1:10" ht="12" customHeight="1" thickBot="1">
      <c r="A11" s="1349" t="s">
        <v>1907</v>
      </c>
      <c r="B11" s="540" t="s">
        <v>829</v>
      </c>
      <c r="C11" s="540">
        <v>28500</v>
      </c>
      <c r="D11" s="540" t="s">
        <v>829</v>
      </c>
      <c r="E11" s="540" t="s">
        <v>829</v>
      </c>
      <c r="F11" s="540" t="s">
        <v>829</v>
      </c>
      <c r="G11" s="540" t="s">
        <v>829</v>
      </c>
      <c r="H11" s="540">
        <v>8924</v>
      </c>
      <c r="I11" s="540">
        <v>9950</v>
      </c>
      <c r="J11" s="540" t="s">
        <v>829</v>
      </c>
    </row>
    <row r="12" spans="1:10" ht="12" customHeight="1">
      <c r="A12" s="1347" t="s">
        <v>1561</v>
      </c>
      <c r="B12" s="541">
        <v>7033</v>
      </c>
      <c r="C12" s="541">
        <v>115</v>
      </c>
      <c r="D12" s="541" t="s">
        <v>829</v>
      </c>
      <c r="E12" s="541" t="s">
        <v>829</v>
      </c>
      <c r="F12" s="541" t="s">
        <v>829</v>
      </c>
      <c r="G12" s="541" t="s">
        <v>829</v>
      </c>
      <c r="H12" s="541" t="s">
        <v>829</v>
      </c>
      <c r="I12" s="541" t="s">
        <v>829</v>
      </c>
      <c r="J12" s="541" t="s">
        <v>829</v>
      </c>
    </row>
    <row r="13" spans="1:10" ht="12" customHeight="1">
      <c r="A13" s="1348" t="s">
        <v>662</v>
      </c>
      <c r="B13" s="539">
        <v>11163</v>
      </c>
      <c r="C13" s="539">
        <v>342</v>
      </c>
      <c r="D13" s="539" t="s">
        <v>829</v>
      </c>
      <c r="E13" s="1350" t="s">
        <v>829</v>
      </c>
      <c r="F13" s="539">
        <v>459</v>
      </c>
      <c r="G13" s="539" t="s">
        <v>829</v>
      </c>
      <c r="H13" s="539"/>
      <c r="I13" s="539"/>
      <c r="J13" s="539" t="s">
        <v>829</v>
      </c>
    </row>
    <row r="14" spans="1:10" ht="12" customHeight="1">
      <c r="A14" s="1351" t="s">
        <v>663</v>
      </c>
      <c r="B14" s="1352">
        <v>11612</v>
      </c>
      <c r="C14" s="1352">
        <v>333</v>
      </c>
      <c r="D14" s="1352" t="s">
        <v>829</v>
      </c>
      <c r="E14" s="1353" t="s">
        <v>829</v>
      </c>
      <c r="F14" s="1352">
        <v>459</v>
      </c>
      <c r="G14" s="1352" t="s">
        <v>829</v>
      </c>
      <c r="H14" s="1352"/>
      <c r="I14" s="1352"/>
      <c r="J14" s="1352" t="s">
        <v>829</v>
      </c>
    </row>
    <row r="15" spans="1:10" ht="12" customHeight="1">
      <c r="A15" s="1351" t="s">
        <v>664</v>
      </c>
      <c r="B15" s="1352">
        <v>13456</v>
      </c>
      <c r="C15" s="1352">
        <v>521</v>
      </c>
      <c r="D15" s="1352" t="s">
        <v>829</v>
      </c>
      <c r="E15" s="1353" t="s">
        <v>829</v>
      </c>
      <c r="F15" s="1352" t="s">
        <v>829</v>
      </c>
      <c r="G15" s="1352">
        <v>252</v>
      </c>
      <c r="H15" s="1352"/>
      <c r="I15" s="1352"/>
      <c r="J15" s="1352" t="s">
        <v>829</v>
      </c>
    </row>
    <row r="16" spans="1:10" ht="12" customHeight="1">
      <c r="A16" s="1351" t="s">
        <v>665</v>
      </c>
      <c r="B16" s="1352">
        <v>20910</v>
      </c>
      <c r="C16" s="1352">
        <v>608</v>
      </c>
      <c r="D16" s="1352" t="s">
        <v>829</v>
      </c>
      <c r="E16" s="1353" t="s">
        <v>829</v>
      </c>
      <c r="F16" s="1352" t="s">
        <v>829</v>
      </c>
      <c r="G16" s="1352">
        <v>130</v>
      </c>
      <c r="H16" s="1352"/>
      <c r="I16" s="1352"/>
      <c r="J16" s="1352">
        <v>686</v>
      </c>
    </row>
    <row r="17" spans="1:10" ht="12" customHeight="1">
      <c r="A17" s="1351" t="s">
        <v>666</v>
      </c>
      <c r="B17" s="1352">
        <v>27565</v>
      </c>
      <c r="C17" s="1352">
        <v>978</v>
      </c>
      <c r="D17" s="1352" t="s">
        <v>829</v>
      </c>
      <c r="E17" s="1353" t="s">
        <v>829</v>
      </c>
      <c r="F17" s="1352" t="s">
        <v>829</v>
      </c>
      <c r="G17" s="1352">
        <v>521</v>
      </c>
      <c r="H17" s="1352"/>
      <c r="I17" s="1352"/>
      <c r="J17" s="1352">
        <v>1340</v>
      </c>
    </row>
    <row r="18" spans="1:10" ht="12" customHeight="1" thickBot="1">
      <c r="A18" s="1354" t="s">
        <v>667</v>
      </c>
      <c r="B18" s="1355">
        <v>30892</v>
      </c>
      <c r="C18" s="1355">
        <v>978</v>
      </c>
      <c r="D18" s="1355" t="s">
        <v>829</v>
      </c>
      <c r="E18" s="1355" t="s">
        <v>829</v>
      </c>
      <c r="F18" s="1355" t="s">
        <v>829</v>
      </c>
      <c r="G18" s="1355">
        <v>521</v>
      </c>
      <c r="H18" s="1355"/>
      <c r="I18" s="1355"/>
      <c r="J18" s="1355">
        <v>1480</v>
      </c>
    </row>
    <row r="19" spans="1:10" s="1359" customFormat="1" ht="59.25" customHeight="1" thickBot="1" thickTop="1">
      <c r="A19" s="1356" t="s">
        <v>505</v>
      </c>
      <c r="B19" s="1357" t="s">
        <v>810</v>
      </c>
      <c r="C19" s="1356" t="s">
        <v>866</v>
      </c>
      <c r="D19" s="1356" t="s">
        <v>811</v>
      </c>
      <c r="E19" s="1356" t="s">
        <v>867</v>
      </c>
      <c r="F19" s="1357" t="s">
        <v>868</v>
      </c>
      <c r="G19" s="1357" t="s">
        <v>869</v>
      </c>
      <c r="H19" s="1357" t="s">
        <v>873</v>
      </c>
      <c r="I19" s="1357" t="s">
        <v>874</v>
      </c>
      <c r="J19" s="1358" t="s">
        <v>875</v>
      </c>
    </row>
    <row r="20" spans="1:10" ht="12" customHeight="1">
      <c r="A20" s="1360" t="s">
        <v>890</v>
      </c>
      <c r="B20" s="1352">
        <v>2562</v>
      </c>
      <c r="C20" s="1352">
        <v>5940</v>
      </c>
      <c r="D20" s="1352">
        <v>1187</v>
      </c>
      <c r="E20" s="1352">
        <v>5888</v>
      </c>
      <c r="F20" s="1352">
        <v>2572</v>
      </c>
      <c r="G20" s="1352">
        <v>562</v>
      </c>
      <c r="H20" s="1352" t="s">
        <v>829</v>
      </c>
      <c r="I20" s="1352" t="s">
        <v>829</v>
      </c>
      <c r="J20" s="1352">
        <v>650</v>
      </c>
    </row>
    <row r="21" spans="1:10" ht="12" customHeight="1">
      <c r="A21" s="1360" t="s">
        <v>891</v>
      </c>
      <c r="B21" s="1352">
        <v>6100</v>
      </c>
      <c r="C21" s="1352">
        <v>10650</v>
      </c>
      <c r="D21" s="1352">
        <v>2438</v>
      </c>
      <c r="E21" s="1352">
        <v>9638</v>
      </c>
      <c r="F21" s="1352">
        <v>3638</v>
      </c>
      <c r="G21" s="1352">
        <v>562</v>
      </c>
      <c r="H21" s="1352" t="s">
        <v>829</v>
      </c>
      <c r="I21" s="1352" t="s">
        <v>829</v>
      </c>
      <c r="J21" s="1352">
        <v>1118</v>
      </c>
    </row>
    <row r="22" spans="1:10" ht="12" customHeight="1">
      <c r="A22" s="1360" t="s">
        <v>1563</v>
      </c>
      <c r="B22" s="1352">
        <v>12791</v>
      </c>
      <c r="C22" s="1352" t="s">
        <v>829</v>
      </c>
      <c r="D22" s="1352" t="s">
        <v>829</v>
      </c>
      <c r="E22" s="1352" t="s">
        <v>829</v>
      </c>
      <c r="F22" s="1352" t="s">
        <v>829</v>
      </c>
      <c r="G22" s="1352" t="s">
        <v>829</v>
      </c>
      <c r="H22" s="1352" t="s">
        <v>829</v>
      </c>
      <c r="I22" s="1352" t="s">
        <v>829</v>
      </c>
      <c r="J22" s="1352" t="s">
        <v>829</v>
      </c>
    </row>
    <row r="23" spans="1:10" ht="12" customHeight="1">
      <c r="A23" s="1360" t="s">
        <v>893</v>
      </c>
      <c r="B23" s="1352">
        <v>11438</v>
      </c>
      <c r="C23" s="1352">
        <v>18126</v>
      </c>
      <c r="D23" s="1352">
        <v>8750</v>
      </c>
      <c r="E23" s="1352">
        <v>21988</v>
      </c>
      <c r="F23" s="1352">
        <v>8200</v>
      </c>
      <c r="G23" s="1352">
        <v>762</v>
      </c>
      <c r="H23" s="1352">
        <v>2216</v>
      </c>
      <c r="I23" s="1352">
        <v>2120</v>
      </c>
      <c r="J23" s="1352">
        <v>3126</v>
      </c>
    </row>
    <row r="24" spans="1:10" ht="12" customHeight="1">
      <c r="A24" s="1360" t="s">
        <v>894</v>
      </c>
      <c r="B24" s="1352">
        <v>13750</v>
      </c>
      <c r="C24" s="1352">
        <v>30000</v>
      </c>
      <c r="D24" s="1352">
        <v>8750</v>
      </c>
      <c r="E24" s="1352">
        <v>21988</v>
      </c>
      <c r="F24" s="1352">
        <v>13750</v>
      </c>
      <c r="G24" s="1352">
        <v>762</v>
      </c>
      <c r="H24" s="1352">
        <v>2216</v>
      </c>
      <c r="I24" s="1352">
        <v>2120</v>
      </c>
      <c r="J24" s="1352">
        <v>3126</v>
      </c>
    </row>
    <row r="25" spans="1:10" ht="12" customHeight="1">
      <c r="A25" s="1360" t="s">
        <v>895</v>
      </c>
      <c r="B25" s="1352">
        <v>23600</v>
      </c>
      <c r="C25" s="1352">
        <v>41250</v>
      </c>
      <c r="D25" s="1352">
        <v>13126</v>
      </c>
      <c r="E25" s="1352">
        <v>39400</v>
      </c>
      <c r="F25" s="1352">
        <v>17500</v>
      </c>
      <c r="G25" s="1352">
        <v>1314</v>
      </c>
      <c r="H25" s="1352">
        <v>3290</v>
      </c>
      <c r="I25" s="1352">
        <v>2400</v>
      </c>
      <c r="J25" s="1352">
        <v>3750</v>
      </c>
    </row>
    <row r="26" spans="1:10" ht="12" customHeight="1">
      <c r="A26" s="1360" t="s">
        <v>896</v>
      </c>
      <c r="B26" s="1352">
        <v>3226</v>
      </c>
      <c r="C26" s="1352">
        <v>8000</v>
      </c>
      <c r="D26" s="1352">
        <v>13126</v>
      </c>
      <c r="E26" s="1352" t="s">
        <v>829</v>
      </c>
      <c r="F26" s="1352">
        <v>4498</v>
      </c>
      <c r="G26" s="1352">
        <v>562</v>
      </c>
      <c r="H26" s="1352" t="s">
        <v>829</v>
      </c>
      <c r="I26" s="1352" t="s">
        <v>829</v>
      </c>
      <c r="J26" s="1352">
        <v>1188</v>
      </c>
    </row>
    <row r="27" spans="1:10" ht="12" customHeight="1" thickBot="1">
      <c r="A27" s="1361" t="s">
        <v>1562</v>
      </c>
      <c r="B27" s="1362" t="s">
        <v>829</v>
      </c>
      <c r="C27" s="1362" t="s">
        <v>829</v>
      </c>
      <c r="D27" s="1362" t="s">
        <v>829</v>
      </c>
      <c r="E27" s="1362" t="s">
        <v>829</v>
      </c>
      <c r="F27" s="1362" t="s">
        <v>829</v>
      </c>
      <c r="G27" s="1362" t="s">
        <v>829</v>
      </c>
      <c r="H27" s="1362" t="s">
        <v>829</v>
      </c>
      <c r="I27" s="1362" t="s">
        <v>829</v>
      </c>
      <c r="J27" s="1362" t="s">
        <v>829</v>
      </c>
    </row>
    <row r="28" spans="1:10" ht="12" customHeight="1">
      <c r="A28" s="1363" t="s">
        <v>878</v>
      </c>
      <c r="B28" s="541">
        <v>3172</v>
      </c>
      <c r="C28" s="541">
        <v>4626</v>
      </c>
      <c r="D28" s="1364">
        <v>1745</v>
      </c>
      <c r="E28" s="541">
        <v>3040</v>
      </c>
      <c r="F28" s="1365" t="s">
        <v>829</v>
      </c>
      <c r="G28" s="1365" t="s">
        <v>829</v>
      </c>
      <c r="H28" s="1365" t="s">
        <v>829</v>
      </c>
      <c r="I28" s="1365" t="s">
        <v>829</v>
      </c>
      <c r="J28" s="541">
        <v>1189</v>
      </c>
    </row>
    <row r="29" spans="1:10" ht="12" customHeight="1">
      <c r="A29" s="1360" t="s">
        <v>897</v>
      </c>
      <c r="B29" s="1352">
        <v>3304</v>
      </c>
      <c r="C29" s="1352">
        <v>5352</v>
      </c>
      <c r="D29" s="1366" t="s">
        <v>829</v>
      </c>
      <c r="E29" s="1352" t="s">
        <v>829</v>
      </c>
      <c r="F29" s="1352" t="s">
        <v>829</v>
      </c>
      <c r="G29" s="1352" t="s">
        <v>829</v>
      </c>
      <c r="H29" s="1352" t="s">
        <v>829</v>
      </c>
      <c r="I29" s="1352" t="s">
        <v>829</v>
      </c>
      <c r="J29" s="1352">
        <v>1189</v>
      </c>
    </row>
    <row r="30" spans="1:10" ht="12" customHeight="1">
      <c r="A30" s="1360" t="s">
        <v>879</v>
      </c>
      <c r="B30" s="1352">
        <v>4163</v>
      </c>
      <c r="C30" s="1352">
        <v>6278</v>
      </c>
      <c r="D30" s="1366">
        <v>1877</v>
      </c>
      <c r="E30" s="1352">
        <v>4361</v>
      </c>
      <c r="F30" s="1352" t="s">
        <v>829</v>
      </c>
      <c r="G30" s="1352" t="s">
        <v>829</v>
      </c>
      <c r="H30" s="1352" t="s">
        <v>829</v>
      </c>
      <c r="I30" s="1352" t="s">
        <v>829</v>
      </c>
      <c r="J30" s="1352">
        <v>1480</v>
      </c>
    </row>
    <row r="31" spans="1:10" ht="12" customHeight="1">
      <c r="A31" s="1360" t="s">
        <v>898</v>
      </c>
      <c r="B31" s="1352">
        <v>5286</v>
      </c>
      <c r="C31" s="1352">
        <v>7996</v>
      </c>
      <c r="D31" s="1366">
        <v>2273</v>
      </c>
      <c r="E31" s="1352">
        <v>4361</v>
      </c>
      <c r="F31" s="1352" t="s">
        <v>829</v>
      </c>
      <c r="G31" s="1352" t="s">
        <v>829</v>
      </c>
      <c r="H31" s="1352" t="s">
        <v>829</v>
      </c>
      <c r="I31" s="1352" t="s">
        <v>829</v>
      </c>
      <c r="J31" s="1352">
        <v>1480</v>
      </c>
    </row>
    <row r="32" spans="1:10" ht="12" customHeight="1">
      <c r="A32" s="1360" t="s">
        <v>880</v>
      </c>
      <c r="B32" s="1352">
        <v>5881</v>
      </c>
      <c r="C32" s="1352">
        <v>8062</v>
      </c>
      <c r="D32" s="1366">
        <v>2022</v>
      </c>
      <c r="E32" s="1352">
        <v>4361</v>
      </c>
      <c r="F32" s="1352" t="s">
        <v>829</v>
      </c>
      <c r="G32" s="1352" t="s">
        <v>829</v>
      </c>
      <c r="H32" s="1352" t="s">
        <v>829</v>
      </c>
      <c r="I32" s="1352" t="s">
        <v>829</v>
      </c>
      <c r="J32" s="1352">
        <v>1480</v>
      </c>
    </row>
    <row r="33" spans="1:10" ht="12" customHeight="1">
      <c r="A33" s="1360" t="s">
        <v>877</v>
      </c>
      <c r="B33" s="1352">
        <v>6674</v>
      </c>
      <c r="C33" s="1352">
        <v>11234</v>
      </c>
      <c r="D33" s="1366">
        <v>2352</v>
      </c>
      <c r="E33" s="1352">
        <v>5815</v>
      </c>
      <c r="F33" s="1352" t="s">
        <v>829</v>
      </c>
      <c r="G33" s="1352" t="s">
        <v>829</v>
      </c>
      <c r="H33" s="1352" t="s">
        <v>829</v>
      </c>
      <c r="I33" s="1352" t="s">
        <v>829</v>
      </c>
      <c r="J33" s="1352">
        <v>1718</v>
      </c>
    </row>
    <row r="34" spans="1:10" ht="12" customHeight="1">
      <c r="A34" s="1360" t="s">
        <v>876</v>
      </c>
      <c r="B34" s="1352">
        <v>10308</v>
      </c>
      <c r="C34" s="1352">
        <v>13877</v>
      </c>
      <c r="D34" s="1366">
        <v>3370</v>
      </c>
      <c r="E34" s="1352">
        <v>9317</v>
      </c>
      <c r="F34" s="1352" t="s">
        <v>829</v>
      </c>
      <c r="G34" s="1352" t="s">
        <v>829</v>
      </c>
      <c r="H34" s="1352" t="s">
        <v>829</v>
      </c>
      <c r="I34" s="1352" t="s">
        <v>829</v>
      </c>
      <c r="J34" s="1352">
        <v>1745</v>
      </c>
    </row>
    <row r="35" spans="1:10" ht="12" customHeight="1">
      <c r="A35" s="1360" t="s">
        <v>1565</v>
      </c>
      <c r="B35" s="1352">
        <v>46776</v>
      </c>
      <c r="C35" s="1352" t="s">
        <v>829</v>
      </c>
      <c r="D35" s="1366">
        <v>28607</v>
      </c>
      <c r="E35" s="1352" t="s">
        <v>829</v>
      </c>
      <c r="F35" s="1352" t="s">
        <v>829</v>
      </c>
      <c r="G35" s="1352" t="s">
        <v>829</v>
      </c>
      <c r="H35" s="1352" t="s">
        <v>829</v>
      </c>
      <c r="I35" s="1352" t="s">
        <v>829</v>
      </c>
      <c r="J35" s="1352">
        <v>8151</v>
      </c>
    </row>
    <row r="36" spans="1:10" ht="12" customHeight="1" thickBot="1">
      <c r="A36" s="1367" t="s">
        <v>1566</v>
      </c>
      <c r="B36" s="1368">
        <v>23692</v>
      </c>
      <c r="C36" s="1368" t="s">
        <v>829</v>
      </c>
      <c r="D36" s="1369">
        <v>19588</v>
      </c>
      <c r="E36" s="1368" t="s">
        <v>829</v>
      </c>
      <c r="F36" s="1368" t="s">
        <v>829</v>
      </c>
      <c r="G36" s="1368" t="s">
        <v>829</v>
      </c>
      <c r="H36" s="1368" t="s">
        <v>829</v>
      </c>
      <c r="I36" s="1368" t="s">
        <v>829</v>
      </c>
      <c r="J36" s="1368">
        <v>5265</v>
      </c>
    </row>
    <row r="37" spans="1:10" ht="12" customHeight="1">
      <c r="A37" s="1370" t="s">
        <v>673</v>
      </c>
      <c r="B37" s="539">
        <v>1163</v>
      </c>
      <c r="C37" s="539">
        <v>2974</v>
      </c>
      <c r="D37" s="1371">
        <v>1004</v>
      </c>
      <c r="E37" s="539" t="s">
        <v>829</v>
      </c>
      <c r="F37" s="539" t="s">
        <v>829</v>
      </c>
      <c r="G37" s="539">
        <v>555</v>
      </c>
      <c r="H37" s="539" t="s">
        <v>829</v>
      </c>
      <c r="I37" s="539" t="s">
        <v>829</v>
      </c>
      <c r="J37" s="539">
        <v>1018</v>
      </c>
    </row>
    <row r="38" spans="1:10" ht="12" customHeight="1">
      <c r="A38" s="1372" t="s">
        <v>674</v>
      </c>
      <c r="B38" s="1352">
        <v>4295</v>
      </c>
      <c r="C38" s="1352" t="s">
        <v>829</v>
      </c>
      <c r="D38" s="1366">
        <v>1916</v>
      </c>
      <c r="E38" s="1352">
        <v>3568</v>
      </c>
      <c r="F38" s="1352" t="s">
        <v>829</v>
      </c>
      <c r="G38" s="1352">
        <v>1084</v>
      </c>
      <c r="H38" s="1352" t="s">
        <v>829</v>
      </c>
      <c r="I38" s="1352" t="s">
        <v>829</v>
      </c>
      <c r="J38" s="1352">
        <v>1189</v>
      </c>
    </row>
    <row r="39" spans="1:10" ht="12" customHeight="1">
      <c r="A39" s="1372" t="s">
        <v>675</v>
      </c>
      <c r="B39" s="1352">
        <v>2419</v>
      </c>
      <c r="C39" s="1352">
        <v>3238</v>
      </c>
      <c r="D39" s="1366">
        <v>1480</v>
      </c>
      <c r="E39" s="1352">
        <v>3833</v>
      </c>
      <c r="F39" s="1352" t="s">
        <v>829</v>
      </c>
      <c r="G39" s="1352"/>
      <c r="H39" s="1352" t="s">
        <v>829</v>
      </c>
      <c r="I39" s="1352" t="s">
        <v>829</v>
      </c>
      <c r="J39" s="1352">
        <v>1137</v>
      </c>
    </row>
    <row r="40" spans="1:10" ht="12" customHeight="1">
      <c r="A40" s="1372" t="s">
        <v>676</v>
      </c>
      <c r="B40" s="1352">
        <v>5352</v>
      </c>
      <c r="C40" s="1352" t="s">
        <v>829</v>
      </c>
      <c r="D40" s="1366">
        <v>1573</v>
      </c>
      <c r="E40" s="1352">
        <v>3899</v>
      </c>
      <c r="F40" s="1352" t="s">
        <v>829</v>
      </c>
      <c r="G40" s="1352">
        <v>608</v>
      </c>
      <c r="H40" s="1352" t="s">
        <v>829</v>
      </c>
      <c r="I40" s="1352" t="s">
        <v>829</v>
      </c>
      <c r="J40" s="1352">
        <v>1256</v>
      </c>
    </row>
    <row r="41" spans="1:10" ht="12" customHeight="1">
      <c r="A41" s="1372" t="s">
        <v>677</v>
      </c>
      <c r="B41" s="1352">
        <v>3833</v>
      </c>
      <c r="C41" s="1352" t="s">
        <v>829</v>
      </c>
      <c r="D41" s="1366">
        <v>1573</v>
      </c>
      <c r="E41" s="1352">
        <v>3899</v>
      </c>
      <c r="F41" s="1352" t="s">
        <v>829</v>
      </c>
      <c r="G41" s="1352">
        <v>1084</v>
      </c>
      <c r="H41" s="1352" t="s">
        <v>829</v>
      </c>
      <c r="I41" s="1352" t="s">
        <v>829</v>
      </c>
      <c r="J41" s="1352">
        <v>1256</v>
      </c>
    </row>
    <row r="42" spans="1:10" ht="12" customHeight="1">
      <c r="A42" s="1372" t="s">
        <v>678</v>
      </c>
      <c r="B42" s="1352">
        <v>4626</v>
      </c>
      <c r="C42" s="1352">
        <v>6872</v>
      </c>
      <c r="D42" s="1366">
        <v>1916</v>
      </c>
      <c r="E42" s="1352">
        <v>4626</v>
      </c>
      <c r="F42" s="1352" t="s">
        <v>829</v>
      </c>
      <c r="G42" s="1352">
        <v>740</v>
      </c>
      <c r="H42" s="1352" t="s">
        <v>829</v>
      </c>
      <c r="I42" s="1352" t="s">
        <v>829</v>
      </c>
      <c r="J42" s="1352">
        <v>1242</v>
      </c>
    </row>
    <row r="43" spans="1:10" ht="12" customHeight="1">
      <c r="A43" s="1372" t="s">
        <v>679</v>
      </c>
      <c r="B43" s="1352">
        <v>8326</v>
      </c>
      <c r="C43" s="1352">
        <v>11432</v>
      </c>
      <c r="D43" s="1366">
        <v>2736</v>
      </c>
      <c r="E43" s="1352">
        <v>5683</v>
      </c>
      <c r="F43" s="1352" t="s">
        <v>829</v>
      </c>
      <c r="G43" s="1352">
        <v>1070</v>
      </c>
      <c r="H43" s="1352" t="s">
        <v>829</v>
      </c>
      <c r="I43" s="1352" t="s">
        <v>829</v>
      </c>
      <c r="J43" s="1352">
        <v>1718</v>
      </c>
    </row>
    <row r="44" spans="1:10" ht="12" customHeight="1">
      <c r="A44" s="1372" t="s">
        <v>900</v>
      </c>
      <c r="B44" s="1352">
        <f>3949.4*1.07</f>
        <v>4225.858</v>
      </c>
      <c r="C44" s="1352" t="s">
        <v>829</v>
      </c>
      <c r="D44" s="1352">
        <f>4124*1.07</f>
        <v>4412.68</v>
      </c>
      <c r="E44" s="1352" t="s">
        <v>829</v>
      </c>
      <c r="F44" s="1352" t="s">
        <v>829</v>
      </c>
      <c r="G44" s="1352">
        <f>384*1.07</f>
        <v>410.88</v>
      </c>
      <c r="H44" s="1352" t="s">
        <v>829</v>
      </c>
      <c r="I44" s="1352" t="s">
        <v>829</v>
      </c>
      <c r="J44" s="1352">
        <f>696*1.07</f>
        <v>744.72</v>
      </c>
    </row>
    <row r="45" spans="1:10" ht="12" customHeight="1" thickBot="1">
      <c r="A45" s="1367" t="s">
        <v>906</v>
      </c>
      <c r="B45" s="1368">
        <f>2695*1.07</f>
        <v>2883.65</v>
      </c>
      <c r="C45" s="1368" t="s">
        <v>829</v>
      </c>
      <c r="D45" s="1368" t="s">
        <v>829</v>
      </c>
      <c r="E45" s="1368" t="s">
        <v>829</v>
      </c>
      <c r="F45" s="1368" t="s">
        <v>829</v>
      </c>
      <c r="G45" s="1368" t="s">
        <v>829</v>
      </c>
      <c r="H45" s="1368" t="s">
        <v>829</v>
      </c>
      <c r="I45" s="1368" t="s">
        <v>829</v>
      </c>
      <c r="J45" s="1368">
        <f>571*1.07</f>
        <v>610.97</v>
      </c>
    </row>
    <row r="46" spans="1:10" s="1359" customFormat="1" ht="39.75" customHeight="1" thickBot="1">
      <c r="A46" s="1373" t="s">
        <v>505</v>
      </c>
      <c r="B46" s="1373" t="s">
        <v>830</v>
      </c>
      <c r="C46" s="1373" t="s">
        <v>831</v>
      </c>
      <c r="D46" s="1373" t="s">
        <v>832</v>
      </c>
      <c r="E46" s="1374" t="s">
        <v>833</v>
      </c>
      <c r="F46" s="2294" t="s">
        <v>834</v>
      </c>
      <c r="G46" s="2295"/>
      <c r="H46" s="2294" t="s">
        <v>669</v>
      </c>
      <c r="I46" s="2295"/>
      <c r="J46" s="1373" t="s">
        <v>506</v>
      </c>
    </row>
    <row r="47" spans="1:10" ht="15">
      <c r="A47" s="1375" t="s">
        <v>835</v>
      </c>
      <c r="B47" s="1376" t="s">
        <v>829</v>
      </c>
      <c r="C47" s="1377" t="s">
        <v>829</v>
      </c>
      <c r="D47" s="1377">
        <v>2656</v>
      </c>
      <c r="E47" s="1378">
        <v>2009</v>
      </c>
      <c r="F47" s="1379">
        <v>1692</v>
      </c>
      <c r="G47" s="1380"/>
      <c r="H47" s="1381" t="s">
        <v>668</v>
      </c>
      <c r="I47" s="1382">
        <v>912</v>
      </c>
      <c r="J47" s="1376" t="s">
        <v>829</v>
      </c>
    </row>
    <row r="48" spans="1:10" ht="15">
      <c r="A48" s="1383" t="s">
        <v>836</v>
      </c>
      <c r="B48" s="1384" t="s">
        <v>829</v>
      </c>
      <c r="C48" s="1385" t="s">
        <v>829</v>
      </c>
      <c r="D48" s="1385">
        <v>3568</v>
      </c>
      <c r="E48" s="1386">
        <v>2128</v>
      </c>
      <c r="F48" s="1387">
        <v>1745</v>
      </c>
      <c r="G48" s="1388"/>
      <c r="H48" s="1389" t="s">
        <v>668</v>
      </c>
      <c r="I48" s="1390">
        <v>1018</v>
      </c>
      <c r="J48" s="1384" t="s">
        <v>829</v>
      </c>
    </row>
    <row r="49" spans="1:10" ht="15.75" thickBot="1">
      <c r="A49" s="1391" t="s">
        <v>837</v>
      </c>
      <c r="B49" s="1392" t="s">
        <v>829</v>
      </c>
      <c r="C49" s="1393">
        <v>1163</v>
      </c>
      <c r="D49" s="1393">
        <v>5683</v>
      </c>
      <c r="E49" s="1394">
        <v>2974</v>
      </c>
      <c r="F49" s="1395">
        <v>7890</v>
      </c>
      <c r="G49" s="1396"/>
      <c r="H49" s="1397" t="s">
        <v>829</v>
      </c>
      <c r="I49" s="1396"/>
      <c r="J49" s="1392" t="s">
        <v>829</v>
      </c>
    </row>
    <row r="50" spans="1:10" ht="16.5" thickBot="1" thickTop="1">
      <c r="A50" s="1398" t="s">
        <v>1564</v>
      </c>
      <c r="B50" s="1399" t="s">
        <v>829</v>
      </c>
      <c r="C50" s="1400" t="s">
        <v>829</v>
      </c>
      <c r="D50" s="1400">
        <v>23776</v>
      </c>
      <c r="E50" s="1400" t="s">
        <v>829</v>
      </c>
      <c r="F50" s="1401" t="s">
        <v>829</v>
      </c>
      <c r="G50" s="1402"/>
      <c r="H50" s="1403" t="s">
        <v>829</v>
      </c>
      <c r="I50" s="1402"/>
      <c r="J50" s="1399" t="s">
        <v>829</v>
      </c>
    </row>
    <row r="51" spans="1:10" ht="37.5" thickBot="1" thickTop="1">
      <c r="A51" s="1404" t="s">
        <v>505</v>
      </c>
      <c r="B51" s="1404" t="s">
        <v>830</v>
      </c>
      <c r="C51" s="1404" t="s">
        <v>831</v>
      </c>
      <c r="D51" s="1404" t="s">
        <v>832</v>
      </c>
      <c r="E51" s="1405" t="s">
        <v>1897</v>
      </c>
      <c r="F51" s="1406" t="s">
        <v>1899</v>
      </c>
      <c r="G51" s="1404" t="s">
        <v>1898</v>
      </c>
      <c r="H51" s="1407" t="s">
        <v>1900</v>
      </c>
      <c r="I51" s="1404" t="s">
        <v>1895</v>
      </c>
      <c r="J51" s="1404" t="s">
        <v>1896</v>
      </c>
    </row>
    <row r="52" spans="1:10" ht="15">
      <c r="A52" s="1408" t="s">
        <v>838</v>
      </c>
      <c r="B52" s="1409">
        <v>20287</v>
      </c>
      <c r="C52" s="1409">
        <v>2471</v>
      </c>
      <c r="D52" s="1409">
        <v>8524</v>
      </c>
      <c r="E52" s="1409">
        <v>1692</v>
      </c>
      <c r="F52" s="1409">
        <v>628</v>
      </c>
      <c r="G52" s="1409">
        <v>1718</v>
      </c>
      <c r="H52" s="1409">
        <v>628</v>
      </c>
      <c r="I52" s="1410">
        <v>753</v>
      </c>
      <c r="J52" s="1409">
        <v>872</v>
      </c>
    </row>
    <row r="53" spans="1:10" ht="15">
      <c r="A53" s="1360" t="s">
        <v>881</v>
      </c>
      <c r="B53" s="1411">
        <v>18701</v>
      </c>
      <c r="C53" s="1411">
        <v>2471</v>
      </c>
      <c r="D53" s="1411">
        <v>7864</v>
      </c>
      <c r="E53" s="1411">
        <v>1692</v>
      </c>
      <c r="F53" s="1411">
        <v>621</v>
      </c>
      <c r="G53" s="1411">
        <v>1718</v>
      </c>
      <c r="H53" s="1411">
        <v>621</v>
      </c>
      <c r="I53" s="1412">
        <v>753</v>
      </c>
      <c r="J53" s="1411">
        <v>872</v>
      </c>
    </row>
    <row r="54" spans="1:10" ht="15">
      <c r="A54" s="1360" t="s">
        <v>842</v>
      </c>
      <c r="B54" s="1411">
        <v>24053</v>
      </c>
      <c r="C54" s="1411">
        <v>2471</v>
      </c>
      <c r="D54" s="1411">
        <v>12093</v>
      </c>
      <c r="E54" s="1411">
        <v>1692</v>
      </c>
      <c r="F54" s="1411">
        <v>628</v>
      </c>
      <c r="G54" s="1411">
        <v>1718</v>
      </c>
      <c r="H54" s="1411">
        <v>925</v>
      </c>
      <c r="I54" s="1412">
        <v>753</v>
      </c>
      <c r="J54" s="1411">
        <v>872</v>
      </c>
    </row>
    <row r="55" spans="1:10" ht="15">
      <c r="A55" s="1360" t="s">
        <v>882</v>
      </c>
      <c r="B55" s="1411">
        <v>19692</v>
      </c>
      <c r="C55" s="1411">
        <v>2471</v>
      </c>
      <c r="D55" s="1411">
        <v>8062</v>
      </c>
      <c r="E55" s="1411">
        <v>1692</v>
      </c>
      <c r="F55" s="1411">
        <v>628</v>
      </c>
      <c r="G55" s="1411">
        <v>1718</v>
      </c>
      <c r="H55" s="1411">
        <v>753</v>
      </c>
      <c r="I55" s="1412">
        <v>753</v>
      </c>
      <c r="J55" s="1411">
        <v>872</v>
      </c>
    </row>
    <row r="56" spans="1:10" ht="15">
      <c r="A56" s="1360" t="s">
        <v>843</v>
      </c>
      <c r="B56" s="1411">
        <v>49230</v>
      </c>
      <c r="C56" s="1411">
        <v>7137</v>
      </c>
      <c r="D56" s="1411">
        <v>20287</v>
      </c>
      <c r="E56" s="1411">
        <v>4163</v>
      </c>
      <c r="F56" s="1411">
        <v>1189</v>
      </c>
      <c r="G56" s="1411">
        <v>2630</v>
      </c>
      <c r="H56" s="1411">
        <v>1586</v>
      </c>
      <c r="I56" s="1412">
        <v>1335</v>
      </c>
      <c r="J56" s="1411">
        <v>1163</v>
      </c>
    </row>
    <row r="57" spans="1:10" ht="15">
      <c r="A57" s="1360" t="s">
        <v>883</v>
      </c>
      <c r="B57" s="1411">
        <v>53525</v>
      </c>
      <c r="C57" s="1411">
        <v>7137</v>
      </c>
      <c r="D57" s="1411">
        <v>22996</v>
      </c>
      <c r="E57" s="1411">
        <v>4163</v>
      </c>
      <c r="F57" s="1411">
        <v>1335</v>
      </c>
      <c r="G57" s="1411">
        <v>2630</v>
      </c>
      <c r="H57" s="1411">
        <v>1692</v>
      </c>
      <c r="I57" s="1412">
        <v>1335</v>
      </c>
      <c r="J57" s="1411">
        <v>1163</v>
      </c>
    </row>
    <row r="58" spans="1:10" ht="15">
      <c r="A58" s="1360" t="s">
        <v>844</v>
      </c>
      <c r="B58" s="1411">
        <v>52930</v>
      </c>
      <c r="C58" s="1411">
        <v>7137</v>
      </c>
      <c r="D58" s="1411">
        <v>21740</v>
      </c>
      <c r="E58" s="1411">
        <v>4163</v>
      </c>
      <c r="F58" s="1411">
        <v>1335</v>
      </c>
      <c r="G58" s="1411">
        <v>2630</v>
      </c>
      <c r="H58" s="1411">
        <v>1639</v>
      </c>
      <c r="I58" s="1412">
        <v>1335</v>
      </c>
      <c r="J58" s="1411">
        <v>1163</v>
      </c>
    </row>
    <row r="59" spans="1:10" ht="15">
      <c r="A59" s="1360" t="s">
        <v>845</v>
      </c>
      <c r="B59" s="1411">
        <v>82732</v>
      </c>
      <c r="C59" s="1411">
        <v>14538</v>
      </c>
      <c r="D59" s="1411">
        <v>32247</v>
      </c>
      <c r="E59" s="1411">
        <v>5485</v>
      </c>
      <c r="F59" s="1411">
        <v>1930</v>
      </c>
      <c r="G59" s="1411">
        <v>4163</v>
      </c>
      <c r="H59" s="1411">
        <v>2604</v>
      </c>
      <c r="I59" s="1412">
        <v>1626</v>
      </c>
      <c r="J59" s="1411">
        <v>1731</v>
      </c>
    </row>
    <row r="60" spans="1:10" ht="15">
      <c r="A60" s="1360" t="s">
        <v>846</v>
      </c>
      <c r="B60" s="1411" t="s">
        <v>829</v>
      </c>
      <c r="C60" s="1411" t="s">
        <v>829</v>
      </c>
      <c r="D60" s="1411" t="s">
        <v>829</v>
      </c>
      <c r="E60" s="1411" t="s">
        <v>829</v>
      </c>
      <c r="F60" s="1411" t="s">
        <v>829</v>
      </c>
      <c r="G60" s="1411" t="s">
        <v>829</v>
      </c>
      <c r="H60" s="1411" t="s">
        <v>829</v>
      </c>
      <c r="I60" s="1411" t="s">
        <v>829</v>
      </c>
      <c r="J60" s="1411" t="s">
        <v>829</v>
      </c>
    </row>
    <row r="61" spans="1:10" ht="15.75" thickBot="1">
      <c r="A61" s="1413" t="s">
        <v>847</v>
      </c>
      <c r="B61" s="1414" t="s">
        <v>829</v>
      </c>
      <c r="C61" s="1414" t="s">
        <v>829</v>
      </c>
      <c r="D61" s="1414" t="s">
        <v>829</v>
      </c>
      <c r="E61" s="1414" t="s">
        <v>829</v>
      </c>
      <c r="F61" s="1414" t="s">
        <v>829</v>
      </c>
      <c r="G61" s="1414" t="s">
        <v>829</v>
      </c>
      <c r="H61" s="1414" t="s">
        <v>829</v>
      </c>
      <c r="I61" s="1414" t="s">
        <v>829</v>
      </c>
      <c r="J61" s="1414" t="s">
        <v>829</v>
      </c>
    </row>
    <row r="62" spans="1:10" ht="15.75" thickTop="1">
      <c r="A62" s="1415" t="s">
        <v>848</v>
      </c>
      <c r="B62" s="1416">
        <v>14538</v>
      </c>
      <c r="C62" s="1416">
        <v>1916</v>
      </c>
      <c r="D62" s="1416">
        <v>5947</v>
      </c>
      <c r="E62" s="1416">
        <v>1559</v>
      </c>
      <c r="F62" s="1416">
        <v>548</v>
      </c>
      <c r="G62" s="1416">
        <v>1242</v>
      </c>
      <c r="H62" s="1416">
        <v>489</v>
      </c>
      <c r="I62" s="1417">
        <v>595</v>
      </c>
      <c r="J62" s="1416">
        <v>700</v>
      </c>
    </row>
    <row r="63" spans="1:10" ht="15">
      <c r="A63" s="1360" t="s">
        <v>849</v>
      </c>
      <c r="B63" s="1411">
        <v>14934</v>
      </c>
      <c r="C63" s="1411">
        <v>1916</v>
      </c>
      <c r="D63" s="1411">
        <v>6145</v>
      </c>
      <c r="E63" s="1411">
        <v>1559</v>
      </c>
      <c r="F63" s="1411">
        <v>522</v>
      </c>
      <c r="G63" s="1411">
        <v>1242</v>
      </c>
      <c r="H63" s="1411">
        <v>529</v>
      </c>
      <c r="I63" s="1412">
        <v>595</v>
      </c>
      <c r="J63" s="1411">
        <v>700</v>
      </c>
    </row>
    <row r="64" spans="1:10" ht="15">
      <c r="A64" s="1360" t="s">
        <v>851</v>
      </c>
      <c r="B64" s="1411">
        <v>37335</v>
      </c>
      <c r="C64" s="1411">
        <v>5495</v>
      </c>
      <c r="D64" s="1411">
        <v>15463</v>
      </c>
      <c r="E64" s="1411">
        <v>3238</v>
      </c>
      <c r="F64" s="1411">
        <v>912</v>
      </c>
      <c r="G64" s="1411">
        <v>1930</v>
      </c>
      <c r="H64" s="1411">
        <v>1216</v>
      </c>
      <c r="I64" s="1412">
        <v>1031</v>
      </c>
      <c r="J64" s="1411">
        <v>899</v>
      </c>
    </row>
    <row r="65" spans="1:10" ht="15">
      <c r="A65" s="1360" t="s">
        <v>852</v>
      </c>
      <c r="B65" s="1411">
        <v>41234</v>
      </c>
      <c r="C65" s="1411">
        <v>5495</v>
      </c>
      <c r="D65" s="1411">
        <v>17247</v>
      </c>
      <c r="E65" s="1411">
        <v>3238</v>
      </c>
      <c r="F65" s="1411">
        <v>912</v>
      </c>
      <c r="G65" s="1411">
        <v>1930</v>
      </c>
      <c r="H65" s="1411">
        <v>1269</v>
      </c>
      <c r="I65" s="1412">
        <v>1031</v>
      </c>
      <c r="J65" s="1411">
        <v>899</v>
      </c>
    </row>
    <row r="66" spans="1:10" ht="15">
      <c r="A66" s="1360" t="s">
        <v>855</v>
      </c>
      <c r="B66" s="1411">
        <v>46520</v>
      </c>
      <c r="C66" s="1411">
        <v>5495</v>
      </c>
      <c r="D66" s="1411">
        <v>19031</v>
      </c>
      <c r="E66" s="1411">
        <v>3238</v>
      </c>
      <c r="F66" s="1411">
        <v>1229</v>
      </c>
      <c r="G66" s="1411">
        <v>1930</v>
      </c>
      <c r="H66" s="1411">
        <v>1348</v>
      </c>
      <c r="I66" s="1412">
        <v>1031</v>
      </c>
      <c r="J66" s="1411">
        <v>899</v>
      </c>
    </row>
    <row r="67" spans="1:10" ht="15.75" thickBot="1">
      <c r="A67" s="1413" t="s">
        <v>857</v>
      </c>
      <c r="B67" s="1414">
        <v>109825</v>
      </c>
      <c r="C67" s="1414">
        <v>11101</v>
      </c>
      <c r="D67" s="1414">
        <v>25507</v>
      </c>
      <c r="E67" s="1414">
        <v>4163</v>
      </c>
      <c r="F67" s="1414">
        <v>1639</v>
      </c>
      <c r="G67" s="1414">
        <v>3172</v>
      </c>
      <c r="H67" s="1414">
        <v>1612</v>
      </c>
      <c r="I67" s="1418">
        <v>1493</v>
      </c>
      <c r="J67" s="1414">
        <v>1652</v>
      </c>
    </row>
    <row r="68" spans="1:10" ht="15.75" thickTop="1">
      <c r="A68" s="1419" t="s">
        <v>1775</v>
      </c>
      <c r="B68" s="1420">
        <v>117500</v>
      </c>
      <c r="C68" s="1420" t="s">
        <v>829</v>
      </c>
      <c r="D68" s="1420" t="s">
        <v>829</v>
      </c>
      <c r="E68" s="1420" t="s">
        <v>829</v>
      </c>
      <c r="F68" s="1421" t="s">
        <v>829</v>
      </c>
      <c r="G68" s="1420"/>
      <c r="H68" s="1420"/>
      <c r="I68" s="1422" t="s">
        <v>829</v>
      </c>
      <c r="J68" s="1420" t="s">
        <v>829</v>
      </c>
    </row>
    <row r="69" spans="1:10" ht="15">
      <c r="A69" s="1360" t="s">
        <v>424</v>
      </c>
      <c r="B69" s="1411">
        <v>77315</v>
      </c>
      <c r="C69" s="1411">
        <v>17660</v>
      </c>
      <c r="D69" s="1411">
        <v>13850</v>
      </c>
      <c r="E69" s="1411">
        <v>6112</v>
      </c>
      <c r="F69" s="1423" t="s">
        <v>829</v>
      </c>
      <c r="G69" s="1411"/>
      <c r="H69" s="1411">
        <v>9322</v>
      </c>
      <c r="I69" s="1424" t="s">
        <v>829</v>
      </c>
      <c r="J69" s="1411" t="s">
        <v>829</v>
      </c>
    </row>
    <row r="70" spans="1:10" ht="15.75" thickBot="1">
      <c r="A70" s="1413" t="s">
        <v>425</v>
      </c>
      <c r="B70" s="1414" t="s">
        <v>829</v>
      </c>
      <c r="C70" s="1414">
        <v>17660</v>
      </c>
      <c r="D70" s="1414">
        <v>13850</v>
      </c>
      <c r="E70" s="1414" t="s">
        <v>829</v>
      </c>
      <c r="F70" s="1425" t="s">
        <v>829</v>
      </c>
      <c r="G70" s="1414"/>
      <c r="H70" s="1414"/>
      <c r="I70" s="1426" t="s">
        <v>829</v>
      </c>
      <c r="J70" s="1414" t="s">
        <v>829</v>
      </c>
    </row>
    <row r="71" spans="1:10" ht="16.5" thickBot="1" thickTop="1">
      <c r="A71" s="1427" t="s">
        <v>862</v>
      </c>
      <c r="B71" s="1428" t="s">
        <v>829</v>
      </c>
      <c r="C71" s="1428">
        <v>1560</v>
      </c>
      <c r="D71" s="1429">
        <v>2938</v>
      </c>
      <c r="E71" s="1430">
        <v>13130</v>
      </c>
      <c r="F71" s="1431" t="s">
        <v>829</v>
      </c>
      <c r="G71" s="1428"/>
      <c r="H71" s="1430"/>
      <c r="I71" s="1432" t="s">
        <v>829</v>
      </c>
      <c r="J71" s="1428" t="s">
        <v>829</v>
      </c>
    </row>
    <row r="72" spans="1:10" ht="25.5" thickBot="1" thickTop="1">
      <c r="A72" s="1433" t="s">
        <v>505</v>
      </c>
      <c r="B72" s="1433" t="s">
        <v>672</v>
      </c>
      <c r="C72" s="1433" t="s">
        <v>887</v>
      </c>
      <c r="D72" s="1433" t="s">
        <v>886</v>
      </c>
      <c r="E72" s="1434" t="s">
        <v>829</v>
      </c>
      <c r="F72" s="2289" t="s">
        <v>829</v>
      </c>
      <c r="G72" s="2289"/>
      <c r="H72" s="2289" t="s">
        <v>829</v>
      </c>
      <c r="I72" s="2290"/>
      <c r="J72" s="1433" t="s">
        <v>829</v>
      </c>
    </row>
    <row r="73" spans="1:10" ht="15">
      <c r="A73" s="1435" t="s">
        <v>670</v>
      </c>
      <c r="B73" s="1436" t="s">
        <v>193</v>
      </c>
      <c r="C73" s="1436">
        <v>3502</v>
      </c>
      <c r="D73" s="1436">
        <v>3304</v>
      </c>
      <c r="E73" s="1437" t="s">
        <v>829</v>
      </c>
      <c r="F73" s="1438" t="s">
        <v>829</v>
      </c>
      <c r="G73" s="1439"/>
      <c r="H73" s="1437"/>
      <c r="I73" s="1440" t="s">
        <v>829</v>
      </c>
      <c r="J73" s="1420" t="s">
        <v>829</v>
      </c>
    </row>
    <row r="74" spans="1:10" ht="15.75" thickBot="1">
      <c r="A74" s="1441" t="s">
        <v>671</v>
      </c>
      <c r="B74" s="1442">
        <v>13282</v>
      </c>
      <c r="C74" s="1442">
        <v>5286</v>
      </c>
      <c r="D74" s="1442">
        <v>5088</v>
      </c>
      <c r="E74" s="1443" t="s">
        <v>829</v>
      </c>
      <c r="F74" s="1444" t="s">
        <v>829</v>
      </c>
      <c r="G74" s="1445"/>
      <c r="H74" s="1443"/>
      <c r="I74" s="1446" t="s">
        <v>829</v>
      </c>
      <c r="J74" s="1447" t="s">
        <v>829</v>
      </c>
    </row>
    <row r="75" spans="1:10" ht="15.75" thickTop="1">
      <c r="A75" s="1448" t="s">
        <v>884</v>
      </c>
      <c r="B75" s="1449">
        <v>4097</v>
      </c>
      <c r="C75" s="1449">
        <v>2167</v>
      </c>
      <c r="D75" s="1449">
        <v>2154</v>
      </c>
      <c r="E75" s="1450" t="s">
        <v>829</v>
      </c>
      <c r="F75" s="1451" t="s">
        <v>829</v>
      </c>
      <c r="G75" s="1452"/>
      <c r="H75" s="1450"/>
      <c r="I75" s="1453" t="s">
        <v>829</v>
      </c>
      <c r="J75" s="1416" t="s">
        <v>829</v>
      </c>
    </row>
    <row r="76" spans="1:10" ht="15.75" thickBot="1">
      <c r="A76" s="1454" t="s">
        <v>885</v>
      </c>
      <c r="B76" s="1455">
        <v>4626</v>
      </c>
      <c r="C76" s="1455">
        <v>2313</v>
      </c>
      <c r="D76" s="1455">
        <v>2273</v>
      </c>
      <c r="E76" s="1456"/>
      <c r="F76" s="1457" t="s">
        <v>829</v>
      </c>
      <c r="G76" s="1458"/>
      <c r="H76" s="1456"/>
      <c r="I76" s="1459" t="s">
        <v>829</v>
      </c>
      <c r="J76" s="1460" t="s">
        <v>829</v>
      </c>
    </row>
    <row r="77" spans="1:10" ht="17.25">
      <c r="A77" s="1461" t="s">
        <v>93</v>
      </c>
      <c r="B77" s="1461"/>
      <c r="C77" s="1461"/>
      <c r="D77" s="1461"/>
      <c r="E77" s="1462"/>
      <c r="F77" s="1462"/>
      <c r="G77" s="1462"/>
      <c r="H77" s="1462"/>
      <c r="I77" s="1462"/>
      <c r="J77" s="1463" t="s">
        <v>1567</v>
      </c>
    </row>
    <row r="78" spans="1:10" ht="17.25">
      <c r="A78" s="2288" t="s">
        <v>909</v>
      </c>
      <c r="B78" s="2288"/>
      <c r="C78" s="2288"/>
      <c r="D78" s="2288"/>
      <c r="E78" s="2288"/>
      <c r="F78" s="2288"/>
      <c r="G78" s="2288"/>
      <c r="H78" s="2288"/>
      <c r="I78" s="2288"/>
      <c r="J78" s="2288"/>
    </row>
    <row r="79" spans="1:10" s="1359" customFormat="1" ht="15">
      <c r="A79" s="1338"/>
      <c r="B79" s="1338"/>
      <c r="C79" s="1338"/>
      <c r="D79" s="1338"/>
      <c r="E79" s="1338"/>
      <c r="F79" s="1338"/>
      <c r="G79" s="1338"/>
      <c r="H79" s="1338"/>
      <c r="I79" s="1338"/>
      <c r="J79" s="1338"/>
    </row>
  </sheetData>
  <sheetProtection/>
  <mergeCells count="8">
    <mergeCell ref="A78:J78"/>
    <mergeCell ref="F72:G72"/>
    <mergeCell ref="H72:I72"/>
    <mergeCell ref="A1:J1"/>
    <mergeCell ref="A2:J2"/>
    <mergeCell ref="A4:J4"/>
    <mergeCell ref="H46:I46"/>
    <mergeCell ref="F46:G46"/>
  </mergeCells>
  <printOptions horizontalCentered="1" verticalCentered="1"/>
  <pageMargins left="0" right="0.1968503937007874" top="0" bottom="0" header="0" footer="0"/>
  <pageSetup horizontalDpi="600" verticalDpi="600" orientation="portrait" paperSize="9" scale="65" r:id="rId1"/>
  <headerFooter alignWithMargins="0">
    <oddFooter>&amp;Rстр. 4 из 8</oddFooter>
  </headerFooter>
  <rowBreaks count="1" manualBreakCount="1">
    <brk id="7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223"/>
  <sheetViews>
    <sheetView view="pageBreakPreview" zoomScaleSheetLayoutView="100" zoomScalePageLayoutView="0" workbookViewId="0" topLeftCell="A42">
      <selection activeCell="K34" sqref="K34"/>
    </sheetView>
  </sheetViews>
  <sheetFormatPr defaultColWidth="0.12890625" defaultRowHeight="0" customHeight="1" zeroHeight="1"/>
  <cols>
    <col min="1" max="1" width="18.00390625" style="90" customWidth="1"/>
    <col min="2" max="2" width="10.375" style="90" customWidth="1"/>
    <col min="3" max="3" width="10.625" style="90" customWidth="1"/>
    <col min="4" max="4" width="0.6171875" style="90" customWidth="1"/>
    <col min="5" max="5" width="18.375" style="325" customWidth="1"/>
    <col min="6" max="6" width="11.25390625" style="90" customWidth="1"/>
    <col min="7" max="7" width="13.00390625" style="90" customWidth="1"/>
    <col min="8" max="8" width="0.74609375" style="90" customWidth="1"/>
    <col min="9" max="9" width="20.00390625" style="90" customWidth="1"/>
    <col min="10" max="10" width="9.875" style="90" customWidth="1"/>
    <col min="11" max="11" width="9.625" style="61" customWidth="1"/>
    <col min="12" max="12" width="9.125" style="90" hidden="1" customWidth="1"/>
    <col min="13" max="13" width="0.12890625" style="90" hidden="1" customWidth="1"/>
    <col min="14" max="14" width="1.12109375" style="90" hidden="1" customWidth="1"/>
    <col min="15" max="254" width="0" style="82" hidden="1" customWidth="1"/>
    <col min="255" max="255" width="2.00390625" style="82" hidden="1" customWidth="1"/>
    <col min="256" max="16384" width="0.12890625" style="82" customWidth="1"/>
  </cols>
  <sheetData>
    <row r="1" spans="1:12" ht="0" customHeight="1" hidden="1">
      <c r="A1" s="82"/>
      <c r="B1" s="82"/>
      <c r="C1" s="82"/>
      <c r="E1" s="105"/>
      <c r="F1" s="82"/>
      <c r="G1" s="82"/>
      <c r="I1" s="82"/>
      <c r="J1" s="82"/>
      <c r="K1" s="99"/>
      <c r="L1" s="82"/>
    </row>
    <row r="2" spans="1:12" ht="0" customHeight="1" hidden="1" thickBot="1">
      <c r="A2" s="82"/>
      <c r="B2" s="82"/>
      <c r="C2" s="82"/>
      <c r="E2" s="105"/>
      <c r="F2" s="82"/>
      <c r="G2" s="82"/>
      <c r="I2" s="82"/>
      <c r="J2" s="82"/>
      <c r="K2" s="99"/>
      <c r="L2" s="82"/>
    </row>
    <row r="3" spans="1:12" ht="15.75" customHeight="1">
      <c r="A3" s="2305" t="s">
        <v>131</v>
      </c>
      <c r="B3" s="2305"/>
      <c r="C3" s="2305"/>
      <c r="D3" s="2305"/>
      <c r="E3" s="2305"/>
      <c r="F3" s="2305"/>
      <c r="G3" s="2305"/>
      <c r="H3" s="2305"/>
      <c r="I3" s="2305"/>
      <c r="J3" s="2305"/>
      <c r="K3" s="2305"/>
      <c r="L3" s="82"/>
    </row>
    <row r="4" spans="1:16" ht="14.25" customHeight="1">
      <c r="A4" s="106" t="s">
        <v>1479</v>
      </c>
      <c r="B4" s="107"/>
      <c r="C4" s="107"/>
      <c r="D4" s="107"/>
      <c r="E4" s="107"/>
      <c r="F4" s="108" t="s">
        <v>624</v>
      </c>
      <c r="G4" s="108"/>
      <c r="H4" s="108"/>
      <c r="I4" s="107"/>
      <c r="J4" s="107"/>
      <c r="K4" s="107"/>
      <c r="L4" s="107"/>
      <c r="M4" s="107"/>
      <c r="N4" s="107"/>
      <c r="O4" s="107"/>
      <c r="P4" s="107"/>
    </row>
    <row r="5" spans="1:16" ht="14.25" customHeight="1" thickBot="1">
      <c r="A5" s="109" t="s">
        <v>148</v>
      </c>
      <c r="B5" s="110"/>
      <c r="C5" s="110"/>
      <c r="D5" s="80"/>
      <c r="E5" s="110"/>
      <c r="F5" s="2298" t="s">
        <v>392</v>
      </c>
      <c r="G5" s="2298"/>
      <c r="H5" s="2298"/>
      <c r="I5" s="2298"/>
      <c r="J5" s="2298"/>
      <c r="K5" s="2298"/>
      <c r="L5" s="2298"/>
      <c r="M5" s="2298"/>
      <c r="N5" s="2298"/>
      <c r="O5" s="2298"/>
      <c r="P5" s="2298"/>
    </row>
    <row r="6" spans="1:16" ht="18" customHeight="1">
      <c r="A6" s="2311" t="s">
        <v>956</v>
      </c>
      <c r="B6" s="2311"/>
      <c r="C6" s="2311"/>
      <c r="D6" s="2311"/>
      <c r="E6" s="2311"/>
      <c r="F6" s="2311"/>
      <c r="G6" s="2311"/>
      <c r="H6" s="111"/>
      <c r="I6" s="112"/>
      <c r="J6" s="112"/>
      <c r="K6" s="113" t="s">
        <v>1853</v>
      </c>
      <c r="L6" s="112"/>
      <c r="M6" s="112"/>
      <c r="N6" s="112"/>
      <c r="O6" s="114"/>
      <c r="P6" s="114"/>
    </row>
    <row r="7" spans="1:16" ht="12" customHeight="1">
      <c r="A7" s="2306" t="s">
        <v>1458</v>
      </c>
      <c r="B7" s="2306"/>
      <c r="C7" s="2306"/>
      <c r="D7" s="2306"/>
      <c r="E7" s="2306"/>
      <c r="F7" s="2306"/>
      <c r="G7" s="2306"/>
      <c r="H7" s="2306"/>
      <c r="I7" s="2306"/>
      <c r="J7" s="2306"/>
      <c r="K7" s="2306"/>
      <c r="L7" s="2306"/>
      <c r="M7" s="2306"/>
      <c r="N7" s="2306"/>
      <c r="O7" s="114"/>
      <c r="P7" s="114"/>
    </row>
    <row r="8" spans="1:16" ht="12" customHeight="1" thickBot="1">
      <c r="A8" s="2307" t="s">
        <v>2012</v>
      </c>
      <c r="B8" s="2307"/>
      <c r="C8" s="2307"/>
      <c r="D8" s="2307"/>
      <c r="E8" s="2307"/>
      <c r="F8" s="2307"/>
      <c r="G8" s="2307"/>
      <c r="H8" s="2307"/>
      <c r="I8" s="2307"/>
      <c r="J8" s="2307"/>
      <c r="K8" s="2306"/>
      <c r="L8" s="2307"/>
      <c r="M8" s="2307"/>
      <c r="N8" s="2307"/>
      <c r="O8" s="114"/>
      <c r="P8" s="114"/>
    </row>
    <row r="9" spans="1:16" s="121" customFormat="1" ht="12" customHeight="1" thickBot="1">
      <c r="A9" s="116" t="s">
        <v>171</v>
      </c>
      <c r="B9" s="116" t="s">
        <v>1957</v>
      </c>
      <c r="C9" s="116" t="s">
        <v>173</v>
      </c>
      <c r="D9" s="117"/>
      <c r="E9" s="116" t="s">
        <v>950</v>
      </c>
      <c r="F9" s="118" t="s">
        <v>1957</v>
      </c>
      <c r="G9" s="116" t="s">
        <v>173</v>
      </c>
      <c r="H9" s="117"/>
      <c r="I9" s="116" t="s">
        <v>950</v>
      </c>
      <c r="J9" s="116" t="s">
        <v>1957</v>
      </c>
      <c r="K9" s="118" t="s">
        <v>173</v>
      </c>
      <c r="L9" s="119" t="s">
        <v>173</v>
      </c>
      <c r="M9" s="57" t="s">
        <v>1957</v>
      </c>
      <c r="N9" s="58" t="s">
        <v>173</v>
      </c>
      <c r="O9" s="120"/>
      <c r="P9" s="120"/>
    </row>
    <row r="10" spans="1:16" s="121" customFormat="1" ht="12" customHeight="1">
      <c r="A10" s="596" t="s">
        <v>1480</v>
      </c>
      <c r="B10" s="597" t="s">
        <v>802</v>
      </c>
      <c r="C10" s="598">
        <v>3538</v>
      </c>
      <c r="D10" s="124"/>
      <c r="E10" s="125" t="s">
        <v>1</v>
      </c>
      <c r="F10" s="126" t="s">
        <v>485</v>
      </c>
      <c r="G10" s="605">
        <v>15310</v>
      </c>
      <c r="H10" s="124"/>
      <c r="I10" s="127" t="s">
        <v>19</v>
      </c>
      <c r="J10" s="128" t="s">
        <v>787</v>
      </c>
      <c r="K10" s="613">
        <v>41820</v>
      </c>
      <c r="L10" s="129">
        <v>20177</v>
      </c>
      <c r="M10" s="130" t="s">
        <v>787</v>
      </c>
      <c r="N10" s="131">
        <v>20177</v>
      </c>
      <c r="O10" s="120"/>
      <c r="P10" s="120"/>
    </row>
    <row r="11" spans="1:16" s="121" customFormat="1" ht="12" customHeight="1">
      <c r="A11" s="599" t="s">
        <v>1923</v>
      </c>
      <c r="B11" s="600" t="s">
        <v>478</v>
      </c>
      <c r="C11" s="601">
        <v>3636</v>
      </c>
      <c r="D11" s="124"/>
      <c r="E11" s="134" t="s">
        <v>2</v>
      </c>
      <c r="F11" s="135" t="s">
        <v>1753</v>
      </c>
      <c r="G11" s="606">
        <v>15946</v>
      </c>
      <c r="H11" s="124"/>
      <c r="I11" s="136" t="s">
        <v>20</v>
      </c>
      <c r="J11" s="137" t="s">
        <v>422</v>
      </c>
      <c r="K11" s="614">
        <v>54540</v>
      </c>
      <c r="L11" s="138">
        <v>66960</v>
      </c>
      <c r="M11" s="139" t="s">
        <v>422</v>
      </c>
      <c r="N11" s="140">
        <v>66960</v>
      </c>
      <c r="O11" s="120"/>
      <c r="P11" s="120"/>
    </row>
    <row r="12" spans="1:16" s="121" customFormat="1" ht="12" customHeight="1">
      <c r="A12" s="599" t="s">
        <v>1924</v>
      </c>
      <c r="B12" s="600" t="s">
        <v>489</v>
      </c>
      <c r="C12" s="601">
        <v>3623</v>
      </c>
      <c r="D12" s="124"/>
      <c r="E12" s="134" t="s">
        <v>3</v>
      </c>
      <c r="F12" s="135" t="s">
        <v>797</v>
      </c>
      <c r="G12" s="606">
        <v>17640</v>
      </c>
      <c r="H12" s="124"/>
      <c r="I12" s="141" t="s">
        <v>21</v>
      </c>
      <c r="J12" s="142" t="s">
        <v>762</v>
      </c>
      <c r="K12" s="607">
        <v>34812</v>
      </c>
      <c r="L12" s="138">
        <v>45625</v>
      </c>
      <c r="M12" s="143" t="s">
        <v>762</v>
      </c>
      <c r="N12" s="140">
        <v>45625</v>
      </c>
      <c r="O12" s="120"/>
      <c r="P12" s="120"/>
    </row>
    <row r="13" spans="1:16" s="121" customFormat="1" ht="12" customHeight="1">
      <c r="A13" s="599" t="s">
        <v>2067</v>
      </c>
      <c r="B13" s="600" t="s">
        <v>803</v>
      </c>
      <c r="C13" s="601">
        <v>4453</v>
      </c>
      <c r="D13" s="124"/>
      <c r="E13" s="134" t="s">
        <v>4</v>
      </c>
      <c r="F13" s="135" t="s">
        <v>776</v>
      </c>
      <c r="G13" s="606">
        <v>17280</v>
      </c>
      <c r="H13" s="124"/>
      <c r="I13" s="141" t="s">
        <v>22</v>
      </c>
      <c r="J13" s="142" t="s">
        <v>788</v>
      </c>
      <c r="K13" s="607">
        <v>36336</v>
      </c>
      <c r="L13" s="138">
        <v>46813</v>
      </c>
      <c r="M13" s="143" t="s">
        <v>788</v>
      </c>
      <c r="N13" s="140">
        <v>46813</v>
      </c>
      <c r="O13" s="120"/>
      <c r="P13" s="120"/>
    </row>
    <row r="14" spans="1:16" s="121" customFormat="1" ht="12" customHeight="1">
      <c r="A14" s="599" t="s">
        <v>951</v>
      </c>
      <c r="B14" s="600" t="s">
        <v>804</v>
      </c>
      <c r="C14" s="601">
        <v>4453</v>
      </c>
      <c r="D14" s="124"/>
      <c r="E14" s="134" t="s">
        <v>5</v>
      </c>
      <c r="F14" s="135" t="s">
        <v>777</v>
      </c>
      <c r="G14" s="606">
        <v>17712</v>
      </c>
      <c r="H14" s="124"/>
      <c r="I14" s="141" t="s">
        <v>23</v>
      </c>
      <c r="J14" s="142" t="s">
        <v>790</v>
      </c>
      <c r="K14" s="607">
        <v>53642</v>
      </c>
      <c r="L14" s="138">
        <v>60464</v>
      </c>
      <c r="M14" s="143" t="s">
        <v>790</v>
      </c>
      <c r="N14" s="140">
        <v>60464</v>
      </c>
      <c r="O14" s="120"/>
      <c r="P14" s="120"/>
    </row>
    <row r="15" spans="1:16" s="121" customFormat="1" ht="12" customHeight="1">
      <c r="A15" s="599" t="s">
        <v>2068</v>
      </c>
      <c r="B15" s="600" t="s">
        <v>805</v>
      </c>
      <c r="C15" s="601">
        <v>5612</v>
      </c>
      <c r="D15" s="124"/>
      <c r="E15" s="134" t="s">
        <v>6</v>
      </c>
      <c r="F15" s="135" t="s">
        <v>778</v>
      </c>
      <c r="G15" s="606">
        <v>23784</v>
      </c>
      <c r="H15" s="124"/>
      <c r="I15" s="136" t="s">
        <v>24</v>
      </c>
      <c r="J15" s="137" t="s">
        <v>423</v>
      </c>
      <c r="K15" s="614">
        <v>61423</v>
      </c>
      <c r="L15" s="138">
        <v>74704</v>
      </c>
      <c r="M15" s="139" t="s">
        <v>423</v>
      </c>
      <c r="N15" s="140">
        <v>74704</v>
      </c>
      <c r="O15" s="120"/>
      <c r="P15" s="120"/>
    </row>
    <row r="16" spans="1:16" s="121" customFormat="1" ht="12" customHeight="1">
      <c r="A16" s="599" t="s">
        <v>1481</v>
      </c>
      <c r="B16" s="600" t="s">
        <v>806</v>
      </c>
      <c r="C16" s="601">
        <v>5490</v>
      </c>
      <c r="D16" s="124"/>
      <c r="E16" s="134" t="s">
        <v>7</v>
      </c>
      <c r="F16" s="135" t="s">
        <v>801</v>
      </c>
      <c r="G16" s="606">
        <v>32268</v>
      </c>
      <c r="H16" s="124"/>
      <c r="I16" s="141" t="s">
        <v>25</v>
      </c>
      <c r="J16" s="142" t="s">
        <v>763</v>
      </c>
      <c r="K16" s="607">
        <v>40587</v>
      </c>
      <c r="L16" s="138">
        <v>52747</v>
      </c>
      <c r="M16" s="143" t="s">
        <v>763</v>
      </c>
      <c r="N16" s="140">
        <v>52747</v>
      </c>
      <c r="O16" s="120"/>
      <c r="P16" s="120"/>
    </row>
    <row r="17" spans="1:16" s="121" customFormat="1" ht="12" customHeight="1">
      <c r="A17" s="599" t="s">
        <v>1925</v>
      </c>
      <c r="B17" s="600" t="s">
        <v>482</v>
      </c>
      <c r="C17" s="601">
        <v>5941</v>
      </c>
      <c r="D17" s="124"/>
      <c r="E17" s="134" t="s">
        <v>8</v>
      </c>
      <c r="F17" s="135" t="s">
        <v>761</v>
      </c>
      <c r="G17" s="606">
        <v>21960</v>
      </c>
      <c r="H17" s="124"/>
      <c r="I17" s="141" t="s">
        <v>26</v>
      </c>
      <c r="J17" s="142" t="s">
        <v>791</v>
      </c>
      <c r="K17" s="607">
        <v>45128</v>
      </c>
      <c r="L17" s="138">
        <v>52747</v>
      </c>
      <c r="M17" s="143" t="s">
        <v>791</v>
      </c>
      <c r="N17" s="140">
        <v>52747</v>
      </c>
      <c r="O17" s="120"/>
      <c r="P17" s="120"/>
    </row>
    <row r="18" spans="1:16" s="121" customFormat="1" ht="12" customHeight="1">
      <c r="A18" s="599" t="s">
        <v>1482</v>
      </c>
      <c r="B18" s="600" t="s">
        <v>483</v>
      </c>
      <c r="C18" s="601">
        <v>6332</v>
      </c>
      <c r="D18" s="124"/>
      <c r="E18" s="134" t="s">
        <v>9</v>
      </c>
      <c r="F18" s="135" t="s">
        <v>1752</v>
      </c>
      <c r="G18" s="606">
        <v>22128</v>
      </c>
      <c r="H18" s="124"/>
      <c r="I18" s="141" t="s">
        <v>27</v>
      </c>
      <c r="J18" s="142" t="s">
        <v>792</v>
      </c>
      <c r="K18" s="607">
        <v>59076</v>
      </c>
      <c r="L18" s="138">
        <v>69752</v>
      </c>
      <c r="M18" s="143" t="s">
        <v>792</v>
      </c>
      <c r="N18" s="140">
        <v>69752</v>
      </c>
      <c r="O18" s="120"/>
      <c r="P18" s="120"/>
    </row>
    <row r="19" spans="1:16" s="121" customFormat="1" ht="12" customHeight="1">
      <c r="A19" s="599" t="s">
        <v>2069</v>
      </c>
      <c r="B19" s="600" t="s">
        <v>481</v>
      </c>
      <c r="C19" s="601">
        <v>8320</v>
      </c>
      <c r="D19" s="124"/>
      <c r="E19" s="134" t="s">
        <v>10</v>
      </c>
      <c r="F19" s="135" t="s">
        <v>798</v>
      </c>
      <c r="G19" s="606">
        <v>28524</v>
      </c>
      <c r="H19" s="124"/>
      <c r="I19" s="141" t="s">
        <v>28</v>
      </c>
      <c r="J19" s="142" t="s">
        <v>764</v>
      </c>
      <c r="K19" s="607">
        <v>57658</v>
      </c>
      <c r="L19" s="138">
        <v>69190</v>
      </c>
      <c r="M19" s="143" t="s">
        <v>764</v>
      </c>
      <c r="N19" s="140">
        <v>69190</v>
      </c>
      <c r="O19" s="120"/>
      <c r="P19" s="120"/>
    </row>
    <row r="20" spans="1:16" s="121" customFormat="1" ht="12" customHeight="1">
      <c r="A20" s="599" t="s">
        <v>2070</v>
      </c>
      <c r="B20" s="600" t="s">
        <v>807</v>
      </c>
      <c r="C20" s="601">
        <v>10126</v>
      </c>
      <c r="D20" s="124"/>
      <c r="E20" s="134" t="s">
        <v>11</v>
      </c>
      <c r="F20" s="135" t="s">
        <v>17</v>
      </c>
      <c r="G20" s="606">
        <v>34200</v>
      </c>
      <c r="H20" s="124"/>
      <c r="I20" s="141" t="s">
        <v>29</v>
      </c>
      <c r="J20" s="142" t="s">
        <v>716</v>
      </c>
      <c r="K20" s="607">
        <v>59688</v>
      </c>
      <c r="L20" s="138">
        <v>69755</v>
      </c>
      <c r="M20" s="143" t="s">
        <v>716</v>
      </c>
      <c r="N20" s="140">
        <v>69755</v>
      </c>
      <c r="O20" s="120"/>
      <c r="P20" s="120"/>
    </row>
    <row r="21" spans="1:16" s="121" customFormat="1" ht="12" customHeight="1">
      <c r="A21" s="599" t="s">
        <v>952</v>
      </c>
      <c r="B21" s="600" t="s">
        <v>484</v>
      </c>
      <c r="C21" s="601">
        <v>8308</v>
      </c>
      <c r="D21" s="124"/>
      <c r="E21" s="134" t="s">
        <v>12</v>
      </c>
      <c r="F21" s="135" t="s">
        <v>487</v>
      </c>
      <c r="G21" s="606">
        <v>24720</v>
      </c>
      <c r="H21" s="124"/>
      <c r="I21" s="141" t="s">
        <v>30</v>
      </c>
      <c r="J21" s="142" t="s">
        <v>793</v>
      </c>
      <c r="K21" s="607">
        <v>76560</v>
      </c>
      <c r="L21" s="138">
        <v>90871</v>
      </c>
      <c r="M21" s="143" t="s">
        <v>793</v>
      </c>
      <c r="N21" s="140">
        <v>90871</v>
      </c>
      <c r="O21" s="120"/>
      <c r="P21" s="120"/>
    </row>
    <row r="22" spans="1:16" s="121" customFormat="1" ht="12" customHeight="1">
      <c r="A22" s="599" t="s">
        <v>2071</v>
      </c>
      <c r="B22" s="600" t="s">
        <v>915</v>
      </c>
      <c r="C22" s="601">
        <v>9748</v>
      </c>
      <c r="D22" s="124"/>
      <c r="E22" s="134" t="s">
        <v>13</v>
      </c>
      <c r="F22" s="135" t="s">
        <v>1750</v>
      </c>
      <c r="G22" s="606">
        <v>25620</v>
      </c>
      <c r="H22" s="124"/>
      <c r="I22" s="141" t="s">
        <v>31</v>
      </c>
      <c r="J22" s="142" t="s">
        <v>794</v>
      </c>
      <c r="K22" s="607">
        <v>62400</v>
      </c>
      <c r="L22" s="138">
        <v>76675</v>
      </c>
      <c r="M22" s="143" t="s">
        <v>794</v>
      </c>
      <c r="N22" s="140">
        <v>76675</v>
      </c>
      <c r="O22" s="120"/>
      <c r="P22" s="120"/>
    </row>
    <row r="23" spans="1:16" s="121" customFormat="1" ht="12" customHeight="1">
      <c r="A23" s="599" t="s">
        <v>2072</v>
      </c>
      <c r="B23" s="600" t="s">
        <v>808</v>
      </c>
      <c r="C23" s="601">
        <v>10898</v>
      </c>
      <c r="D23" s="124"/>
      <c r="E23" s="134" t="s">
        <v>14</v>
      </c>
      <c r="F23" s="135" t="s">
        <v>799</v>
      </c>
      <c r="G23" s="606">
        <v>31452</v>
      </c>
      <c r="H23" s="124"/>
      <c r="I23" s="141" t="s">
        <v>32</v>
      </c>
      <c r="J23" s="142" t="s">
        <v>795</v>
      </c>
      <c r="K23" s="615">
        <v>64680</v>
      </c>
      <c r="L23" s="144">
        <v>76658</v>
      </c>
      <c r="M23" s="143" t="s">
        <v>795</v>
      </c>
      <c r="N23" s="145">
        <v>76658</v>
      </c>
      <c r="O23" s="120"/>
      <c r="P23" s="120"/>
    </row>
    <row r="24" spans="1:16" s="121" customFormat="1" ht="12" customHeight="1">
      <c r="A24" s="599" t="s">
        <v>2073</v>
      </c>
      <c r="B24" s="600" t="s">
        <v>760</v>
      </c>
      <c r="C24" s="601">
        <v>10494</v>
      </c>
      <c r="D24" s="124"/>
      <c r="E24" s="134" t="s">
        <v>2075</v>
      </c>
      <c r="F24" s="135" t="s">
        <v>18</v>
      </c>
      <c r="G24" s="606">
        <v>43688</v>
      </c>
      <c r="H24" s="124"/>
      <c r="I24" s="141" t="s">
        <v>33</v>
      </c>
      <c r="J24" s="142" t="s">
        <v>765</v>
      </c>
      <c r="K24" s="594">
        <v>75992</v>
      </c>
      <c r="L24" s="146">
        <v>91190</v>
      </c>
      <c r="M24" s="143" t="s">
        <v>765</v>
      </c>
      <c r="N24" s="147">
        <v>91190</v>
      </c>
      <c r="O24" s="120"/>
      <c r="P24" s="120"/>
    </row>
    <row r="25" spans="1:16" s="121" customFormat="1" ht="12" customHeight="1">
      <c r="A25" s="599" t="s">
        <v>2074</v>
      </c>
      <c r="B25" s="600" t="s">
        <v>1751</v>
      </c>
      <c r="C25" s="601">
        <v>10797</v>
      </c>
      <c r="D25" s="124"/>
      <c r="E25" s="134" t="s">
        <v>15</v>
      </c>
      <c r="F25" s="135" t="s">
        <v>488</v>
      </c>
      <c r="G25" s="607">
        <v>31392</v>
      </c>
      <c r="H25" s="148"/>
      <c r="I25" s="141" t="s">
        <v>34</v>
      </c>
      <c r="J25" s="142" t="s">
        <v>717</v>
      </c>
      <c r="K25" s="595">
        <v>84010</v>
      </c>
      <c r="L25" s="149">
        <v>97232</v>
      </c>
      <c r="M25" s="143" t="s">
        <v>717</v>
      </c>
      <c r="N25" s="150">
        <v>97232</v>
      </c>
      <c r="O25" s="120"/>
      <c r="P25" s="120"/>
    </row>
    <row r="26" spans="1:16" s="121" customFormat="1" ht="12" customHeight="1" thickBot="1">
      <c r="A26" s="602" t="s">
        <v>0</v>
      </c>
      <c r="B26" s="603" t="s">
        <v>809</v>
      </c>
      <c r="C26" s="604">
        <v>16323</v>
      </c>
      <c r="D26" s="124"/>
      <c r="E26" s="153" t="s">
        <v>16</v>
      </c>
      <c r="F26" s="154" t="s">
        <v>800</v>
      </c>
      <c r="G26" s="608">
        <v>32724</v>
      </c>
      <c r="H26" s="148"/>
      <c r="I26" s="155" t="s">
        <v>35</v>
      </c>
      <c r="J26" s="156" t="s">
        <v>796</v>
      </c>
      <c r="K26" s="616">
        <v>134742</v>
      </c>
      <c r="L26" s="157">
        <v>143078</v>
      </c>
      <c r="M26" s="158" t="s">
        <v>796</v>
      </c>
      <c r="N26" s="159">
        <v>143078</v>
      </c>
      <c r="O26" s="120"/>
      <c r="P26" s="120"/>
    </row>
    <row r="27" spans="1:16" s="121" customFormat="1" ht="30.75" customHeight="1" thickBot="1">
      <c r="A27" s="2308" t="s">
        <v>1627</v>
      </c>
      <c r="B27" s="2308"/>
      <c r="C27" s="2308"/>
      <c r="D27" s="160"/>
      <c r="E27" s="2309" t="s">
        <v>367</v>
      </c>
      <c r="F27" s="2309"/>
      <c r="G27" s="2309"/>
      <c r="H27" s="161"/>
      <c r="I27" s="2310" t="s">
        <v>1892</v>
      </c>
      <c r="J27" s="2310"/>
      <c r="K27" s="2310"/>
      <c r="L27" s="162"/>
      <c r="M27" s="162"/>
      <c r="N27" s="162"/>
      <c r="O27" s="120"/>
      <c r="P27" s="120"/>
    </row>
    <row r="28" spans="1:16" s="121" customFormat="1" ht="12" customHeight="1" thickBot="1">
      <c r="A28" s="163" t="s">
        <v>1748</v>
      </c>
      <c r="B28" s="164" t="s">
        <v>1957</v>
      </c>
      <c r="C28" s="165" t="s">
        <v>173</v>
      </c>
      <c r="D28" s="166"/>
      <c r="E28" s="182" t="s">
        <v>1459</v>
      </c>
      <c r="F28" s="213" t="s">
        <v>764</v>
      </c>
      <c r="G28" s="611">
        <v>54769</v>
      </c>
      <c r="H28" s="167"/>
      <c r="I28" s="627" t="s">
        <v>1873</v>
      </c>
      <c r="J28" s="163" t="s">
        <v>1872</v>
      </c>
      <c r="K28" s="118" t="s">
        <v>173</v>
      </c>
      <c r="L28" s="168"/>
      <c r="M28" s="168"/>
      <c r="N28" s="168"/>
      <c r="O28" s="120"/>
      <c r="P28" s="120"/>
    </row>
    <row r="29" spans="1:16" s="121" customFormat="1" ht="12" customHeight="1">
      <c r="A29" s="169" t="s">
        <v>36</v>
      </c>
      <c r="B29" s="123" t="s">
        <v>758</v>
      </c>
      <c r="C29" s="592">
        <v>86322</v>
      </c>
      <c r="D29" s="170"/>
      <c r="E29" s="173" t="s">
        <v>1460</v>
      </c>
      <c r="F29" s="174" t="s">
        <v>763</v>
      </c>
      <c r="G29" s="612">
        <v>45115</v>
      </c>
      <c r="H29" s="167"/>
      <c r="I29" s="617" t="s">
        <v>1854</v>
      </c>
      <c r="J29" s="618" t="s">
        <v>1861</v>
      </c>
      <c r="K29" s="619">
        <v>15225</v>
      </c>
      <c r="L29" s="171"/>
      <c r="M29" s="50"/>
      <c r="N29" s="172"/>
      <c r="O29" s="120"/>
      <c r="P29" s="120"/>
    </row>
    <row r="30" spans="1:16" s="121" customFormat="1" ht="12" customHeight="1">
      <c r="A30" s="169" t="s">
        <v>953</v>
      </c>
      <c r="B30" s="133" t="s">
        <v>718</v>
      </c>
      <c r="C30" s="592">
        <v>90050</v>
      </c>
      <c r="D30" s="170"/>
      <c r="E30" s="173" t="s">
        <v>1483</v>
      </c>
      <c r="F30" s="174" t="s">
        <v>791</v>
      </c>
      <c r="G30" s="612">
        <v>45108</v>
      </c>
      <c r="H30" s="167"/>
      <c r="I30" s="617" t="s">
        <v>1855</v>
      </c>
      <c r="J30" s="621" t="s">
        <v>1856</v>
      </c>
      <c r="K30" s="622">
        <v>16640</v>
      </c>
      <c r="L30" s="175"/>
      <c r="M30" s="54"/>
      <c r="N30" s="176"/>
      <c r="O30" s="120"/>
      <c r="P30" s="120"/>
    </row>
    <row r="31" spans="1:16" s="121" customFormat="1" ht="12" customHeight="1">
      <c r="A31" s="169" t="s">
        <v>954</v>
      </c>
      <c r="B31" s="133" t="s">
        <v>715</v>
      </c>
      <c r="C31" s="592">
        <v>132840</v>
      </c>
      <c r="D31" s="170"/>
      <c r="E31" s="173" t="s">
        <v>1461</v>
      </c>
      <c r="F31" s="174" t="s">
        <v>788</v>
      </c>
      <c r="G31" s="612">
        <v>40037</v>
      </c>
      <c r="H31" s="167"/>
      <c r="I31" s="617" t="s">
        <v>1857</v>
      </c>
      <c r="J31" s="621" t="s">
        <v>1860</v>
      </c>
      <c r="K31" s="622">
        <v>18743</v>
      </c>
      <c r="L31" s="175"/>
      <c r="M31" s="54"/>
      <c r="N31" s="176"/>
      <c r="O31" s="120"/>
      <c r="P31" s="120"/>
    </row>
    <row r="32" spans="1:16" s="121" customFormat="1" ht="12" customHeight="1">
      <c r="A32" s="169" t="s">
        <v>37</v>
      </c>
      <c r="B32" s="133" t="s">
        <v>720</v>
      </c>
      <c r="C32" s="592">
        <v>137104</v>
      </c>
      <c r="D32" s="170"/>
      <c r="E32" s="173" t="s">
        <v>1462</v>
      </c>
      <c r="F32" s="174" t="s">
        <v>765</v>
      </c>
      <c r="G32" s="612">
        <v>91138</v>
      </c>
      <c r="H32" s="167"/>
      <c r="I32" s="617" t="s">
        <v>1858</v>
      </c>
      <c r="J32" s="621" t="s">
        <v>1859</v>
      </c>
      <c r="K32" s="622">
        <v>23310</v>
      </c>
      <c r="L32" s="175"/>
      <c r="M32" s="54"/>
      <c r="N32" s="176"/>
      <c r="O32" s="120"/>
      <c r="P32" s="120"/>
    </row>
    <row r="33" spans="1:16" s="121" customFormat="1" ht="12" customHeight="1">
      <c r="A33" s="169" t="s">
        <v>582</v>
      </c>
      <c r="B33" s="133" t="s">
        <v>784</v>
      </c>
      <c r="C33" s="592">
        <v>223200</v>
      </c>
      <c r="D33" s="170"/>
      <c r="E33" s="173" t="s">
        <v>1463</v>
      </c>
      <c r="F33" s="174" t="s">
        <v>794</v>
      </c>
      <c r="G33" s="612">
        <v>74745</v>
      </c>
      <c r="H33" s="167"/>
      <c r="I33" s="617" t="s">
        <v>1862</v>
      </c>
      <c r="J33" s="621" t="s">
        <v>1863</v>
      </c>
      <c r="K33" s="622">
        <v>28560</v>
      </c>
      <c r="L33" s="175"/>
      <c r="M33" s="54"/>
      <c r="N33" s="176"/>
      <c r="O33" s="120"/>
      <c r="P33" s="120"/>
    </row>
    <row r="34" spans="1:16" s="121" customFormat="1" ht="12" customHeight="1">
      <c r="A34" s="169" t="s">
        <v>955</v>
      </c>
      <c r="B34" s="133" t="s">
        <v>785</v>
      </c>
      <c r="C34" s="592">
        <v>142966</v>
      </c>
      <c r="D34" s="170"/>
      <c r="E34" s="173" t="s">
        <v>1464</v>
      </c>
      <c r="F34" s="174" t="s">
        <v>717</v>
      </c>
      <c r="G34" s="612">
        <v>91464</v>
      </c>
      <c r="H34" s="167"/>
      <c r="I34" s="617" t="s">
        <v>1864</v>
      </c>
      <c r="J34" s="621" t="s">
        <v>1865</v>
      </c>
      <c r="K34" s="622">
        <v>35228</v>
      </c>
      <c r="L34" s="175"/>
      <c r="M34" s="54"/>
      <c r="N34" s="176"/>
      <c r="O34" s="120"/>
      <c r="P34" s="120"/>
    </row>
    <row r="35" spans="1:16" s="121" customFormat="1" ht="12" customHeight="1">
      <c r="A35" s="169" t="s">
        <v>583</v>
      </c>
      <c r="B35" s="133" t="s">
        <v>731</v>
      </c>
      <c r="C35" s="592">
        <v>154774</v>
      </c>
      <c r="D35" s="170"/>
      <c r="E35" s="173" t="s">
        <v>1465</v>
      </c>
      <c r="F35" s="174" t="s">
        <v>795</v>
      </c>
      <c r="G35" s="612">
        <v>70231</v>
      </c>
      <c r="H35" s="167"/>
      <c r="I35" s="617" t="s">
        <v>1866</v>
      </c>
      <c r="J35" s="621" t="s">
        <v>1867</v>
      </c>
      <c r="K35" s="622">
        <v>40845</v>
      </c>
      <c r="L35" s="175"/>
      <c r="M35" s="54"/>
      <c r="N35" s="176"/>
      <c r="O35" s="120"/>
      <c r="P35" s="120"/>
    </row>
    <row r="36" spans="1:16" s="121" customFormat="1" ht="12" customHeight="1">
      <c r="A36" s="169" t="s">
        <v>1484</v>
      </c>
      <c r="B36" s="133" t="s">
        <v>786</v>
      </c>
      <c r="C36" s="592">
        <v>240960</v>
      </c>
      <c r="D36" s="170"/>
      <c r="E36" s="173" t="s">
        <v>1466</v>
      </c>
      <c r="F36" s="174" t="s">
        <v>793</v>
      </c>
      <c r="G36" s="612">
        <v>94030</v>
      </c>
      <c r="H36" s="167"/>
      <c r="I36" s="617" t="s">
        <v>1868</v>
      </c>
      <c r="J36" s="621" t="s">
        <v>1869</v>
      </c>
      <c r="K36" s="622">
        <v>47145</v>
      </c>
      <c r="L36" s="175"/>
      <c r="M36" s="54"/>
      <c r="N36" s="176"/>
      <c r="O36" s="120"/>
      <c r="P36" s="120"/>
    </row>
    <row r="37" spans="1:16" s="121" customFormat="1" ht="12" customHeight="1">
      <c r="A37" s="169" t="s">
        <v>584</v>
      </c>
      <c r="B37" s="133" t="s">
        <v>721</v>
      </c>
      <c r="C37" s="592">
        <v>239160</v>
      </c>
      <c r="D37" s="170"/>
      <c r="E37" s="173" t="s">
        <v>1467</v>
      </c>
      <c r="F37" s="174" t="s">
        <v>587</v>
      </c>
      <c r="G37" s="612">
        <v>88616</v>
      </c>
      <c r="H37" s="167"/>
      <c r="I37" s="617" t="s">
        <v>1870</v>
      </c>
      <c r="J37" s="621" t="s">
        <v>1871</v>
      </c>
      <c r="K37" s="622">
        <v>56175</v>
      </c>
      <c r="L37" s="175"/>
      <c r="M37" s="54"/>
      <c r="N37" s="176"/>
      <c r="O37" s="120"/>
      <c r="P37" s="120"/>
    </row>
    <row r="38" spans="1:16" s="121" customFormat="1" ht="12" customHeight="1">
      <c r="A38" s="169" t="s">
        <v>585</v>
      </c>
      <c r="B38" s="133" t="s">
        <v>774</v>
      </c>
      <c r="C38" s="592">
        <v>225132</v>
      </c>
      <c r="D38" s="170"/>
      <c r="E38" s="173" t="s">
        <v>1476</v>
      </c>
      <c r="F38" s="133" t="s">
        <v>731</v>
      </c>
      <c r="G38" s="185">
        <v>161598</v>
      </c>
      <c r="H38" s="167"/>
      <c r="I38" s="617" t="s">
        <v>1874</v>
      </c>
      <c r="J38" s="621" t="s">
        <v>1875</v>
      </c>
      <c r="K38" s="623">
        <v>82110</v>
      </c>
      <c r="L38" s="175"/>
      <c r="M38" s="54"/>
      <c r="N38" s="176"/>
      <c r="O38" s="120"/>
      <c r="P38" s="120"/>
    </row>
    <row r="39" spans="1:16" s="121" customFormat="1" ht="12" customHeight="1">
      <c r="A39" s="169" t="s">
        <v>1485</v>
      </c>
      <c r="B39" s="133" t="s">
        <v>725</v>
      </c>
      <c r="C39" s="592">
        <v>275661</v>
      </c>
      <c r="D39" s="170"/>
      <c r="E39" s="173" t="s">
        <v>1470</v>
      </c>
      <c r="F39" s="133" t="s">
        <v>784</v>
      </c>
      <c r="G39" s="185">
        <v>201549</v>
      </c>
      <c r="H39" s="167"/>
      <c r="I39" s="617" t="s">
        <v>1876</v>
      </c>
      <c r="J39" s="621" t="s">
        <v>1877</v>
      </c>
      <c r="K39" s="623">
        <v>99645</v>
      </c>
      <c r="L39" s="175"/>
      <c r="M39" s="54"/>
      <c r="N39" s="176"/>
      <c r="O39" s="120"/>
      <c r="P39" s="120"/>
    </row>
    <row r="40" spans="1:16" s="121" customFormat="1" ht="12" customHeight="1">
      <c r="A40" s="169" t="s">
        <v>586</v>
      </c>
      <c r="B40" s="133" t="s">
        <v>775</v>
      </c>
      <c r="C40" s="592">
        <v>240100</v>
      </c>
      <c r="D40" s="170"/>
      <c r="E40" s="173" t="s">
        <v>1472</v>
      </c>
      <c r="F40" s="133" t="s">
        <v>2052</v>
      </c>
      <c r="G40" s="185">
        <v>165089</v>
      </c>
      <c r="H40" s="167"/>
      <c r="I40" s="617" t="s">
        <v>1878</v>
      </c>
      <c r="J40" s="621" t="s">
        <v>1879</v>
      </c>
      <c r="K40" s="623">
        <v>117600</v>
      </c>
      <c r="L40" s="175"/>
      <c r="M40" s="54"/>
      <c r="N40" s="176"/>
      <c r="O40" s="120"/>
      <c r="P40" s="120"/>
    </row>
    <row r="41" spans="1:16" s="121" customFormat="1" ht="12" customHeight="1" thickBot="1">
      <c r="A41" s="177" t="s">
        <v>1486</v>
      </c>
      <c r="B41" s="152" t="s">
        <v>726</v>
      </c>
      <c r="C41" s="593" t="s">
        <v>337</v>
      </c>
      <c r="D41" s="124"/>
      <c r="E41" s="173" t="s">
        <v>1477</v>
      </c>
      <c r="F41" s="133" t="s">
        <v>589</v>
      </c>
      <c r="G41" s="185">
        <v>169859</v>
      </c>
      <c r="H41" s="167"/>
      <c r="I41" s="617" t="s">
        <v>1880</v>
      </c>
      <c r="J41" s="621" t="s">
        <v>1881</v>
      </c>
      <c r="K41" s="623">
        <v>134610</v>
      </c>
      <c r="L41" s="175"/>
      <c r="M41" s="54"/>
      <c r="N41" s="176"/>
      <c r="O41" s="120"/>
      <c r="P41" s="120"/>
    </row>
    <row r="42" spans="1:16" s="121" customFormat="1" ht="13.5" customHeight="1" thickBot="1">
      <c r="A42" s="2304" t="s">
        <v>590</v>
      </c>
      <c r="B42" s="2304"/>
      <c r="C42" s="2304"/>
      <c r="D42" s="2304"/>
      <c r="E42" s="2304"/>
      <c r="F42" s="2304"/>
      <c r="G42" s="2304"/>
      <c r="H42" s="610"/>
      <c r="I42" s="617" t="s">
        <v>1882</v>
      </c>
      <c r="J42" s="621" t="s">
        <v>1883</v>
      </c>
      <c r="K42" s="628">
        <v>164115</v>
      </c>
      <c r="L42" s="180"/>
      <c r="M42" s="63"/>
      <c r="N42" s="181"/>
      <c r="O42" s="120"/>
      <c r="P42" s="120"/>
    </row>
    <row r="43" spans="1:16" s="121" customFormat="1" ht="12" customHeight="1">
      <c r="A43" s="629" t="s">
        <v>1468</v>
      </c>
      <c r="B43" s="123" t="s">
        <v>715</v>
      </c>
      <c r="C43" s="183">
        <v>141025</v>
      </c>
      <c r="D43" s="184"/>
      <c r="E43" s="182" t="s">
        <v>1478</v>
      </c>
      <c r="F43" s="123" t="s">
        <v>588</v>
      </c>
      <c r="G43" s="183">
        <v>117346</v>
      </c>
      <c r="H43" s="184"/>
      <c r="I43" s="617" t="s">
        <v>1884</v>
      </c>
      <c r="J43" s="621" t="s">
        <v>1885</v>
      </c>
      <c r="K43" s="623">
        <v>198240</v>
      </c>
      <c r="L43" s="180"/>
      <c r="M43" s="63"/>
      <c r="N43" s="181"/>
      <c r="O43" s="120"/>
      <c r="P43" s="120"/>
    </row>
    <row r="44" spans="1:16" s="121" customFormat="1" ht="12" customHeight="1">
      <c r="A44" s="620" t="s">
        <v>1471</v>
      </c>
      <c r="B44" s="133" t="s">
        <v>720</v>
      </c>
      <c r="C44" s="185">
        <v>131595</v>
      </c>
      <c r="D44" s="184"/>
      <c r="E44" s="173" t="s">
        <v>1469</v>
      </c>
      <c r="F44" s="133" t="s">
        <v>774</v>
      </c>
      <c r="G44" s="185">
        <v>210784</v>
      </c>
      <c r="H44" s="184"/>
      <c r="I44" s="617" t="s">
        <v>1886</v>
      </c>
      <c r="J44" s="621" t="s">
        <v>1889</v>
      </c>
      <c r="K44" s="623">
        <v>238875</v>
      </c>
      <c r="L44" s="180"/>
      <c r="M44" s="63"/>
      <c r="N44" s="181"/>
      <c r="O44" s="120"/>
      <c r="P44" s="120"/>
    </row>
    <row r="45" spans="1:16" s="121" customFormat="1" ht="12" customHeight="1">
      <c r="A45" s="620" t="s">
        <v>1473</v>
      </c>
      <c r="B45" s="133" t="s">
        <v>718</v>
      </c>
      <c r="C45" s="185">
        <v>108618</v>
      </c>
      <c r="D45" s="184"/>
      <c r="E45" s="173" t="s">
        <v>1487</v>
      </c>
      <c r="F45" s="133" t="s">
        <v>785</v>
      </c>
      <c r="G45" s="185">
        <v>173581</v>
      </c>
      <c r="H45" s="184"/>
      <c r="I45" s="617" t="s">
        <v>1888</v>
      </c>
      <c r="J45" s="621" t="s">
        <v>1887</v>
      </c>
      <c r="K45" s="623">
        <v>274260</v>
      </c>
      <c r="L45" s="180"/>
      <c r="M45" s="63"/>
      <c r="N45" s="181"/>
      <c r="O45" s="120"/>
      <c r="P45" s="120"/>
    </row>
    <row r="46" spans="1:16" s="121" customFormat="1" ht="12" customHeight="1" thickBot="1">
      <c r="A46" s="624" t="s">
        <v>1475</v>
      </c>
      <c r="B46" s="152" t="s">
        <v>796</v>
      </c>
      <c r="C46" s="186">
        <v>137345</v>
      </c>
      <c r="D46" s="184"/>
      <c r="E46" s="178" t="s">
        <v>1474</v>
      </c>
      <c r="F46" s="152" t="s">
        <v>721</v>
      </c>
      <c r="G46" s="186">
        <v>215729</v>
      </c>
      <c r="H46" s="184"/>
      <c r="I46" s="624" t="s">
        <v>1890</v>
      </c>
      <c r="J46" s="625" t="s">
        <v>1891</v>
      </c>
      <c r="K46" s="626">
        <v>409710</v>
      </c>
      <c r="L46" s="180"/>
      <c r="M46" s="63"/>
      <c r="N46" s="181"/>
      <c r="O46" s="120"/>
      <c r="P46" s="120"/>
    </row>
    <row r="47" spans="4:16" s="121" customFormat="1" ht="5.25" customHeight="1">
      <c r="D47" s="184"/>
      <c r="E47" s="187"/>
      <c r="F47" s="188"/>
      <c r="G47" s="189"/>
      <c r="H47" s="189"/>
      <c r="I47" s="190"/>
      <c r="J47" s="191"/>
      <c r="K47" s="192"/>
      <c r="L47" s="180"/>
      <c r="M47" s="63"/>
      <c r="N47" s="181"/>
      <c r="O47" s="120"/>
      <c r="P47" s="120"/>
    </row>
    <row r="48" spans="1:16" ht="15.75" customHeight="1" thickBot="1">
      <c r="A48" s="2299" t="s">
        <v>601</v>
      </c>
      <c r="B48" s="2299"/>
      <c r="C48" s="2299"/>
      <c r="D48" s="2299"/>
      <c r="E48" s="2299"/>
      <c r="F48" s="2299"/>
      <c r="G48" s="2299"/>
      <c r="H48" s="2299"/>
      <c r="I48" s="2299"/>
      <c r="J48" s="2299"/>
      <c r="K48" s="2299"/>
      <c r="L48" s="180"/>
      <c r="M48" s="63"/>
      <c r="N48" s="193"/>
      <c r="O48" s="114"/>
      <c r="P48" s="114"/>
    </row>
    <row r="49" spans="1:16" ht="4.5" customHeight="1" thickTop="1">
      <c r="A49" s="194"/>
      <c r="B49" s="194"/>
      <c r="C49" s="194"/>
      <c r="D49" s="194"/>
      <c r="E49" s="194"/>
      <c r="F49" s="194"/>
      <c r="G49" s="194"/>
      <c r="H49" s="194"/>
      <c r="I49" s="195"/>
      <c r="J49" s="195"/>
      <c r="K49" s="195"/>
      <c r="L49" s="196"/>
      <c r="M49" s="80"/>
      <c r="N49" s="197"/>
      <c r="O49" s="114"/>
      <c r="P49" s="114"/>
    </row>
    <row r="50" spans="1:16" ht="11.25" customHeight="1" thickBot="1">
      <c r="A50" s="2300" t="s">
        <v>1701</v>
      </c>
      <c r="B50" s="2300"/>
      <c r="C50" s="2300"/>
      <c r="D50" s="2300"/>
      <c r="E50" s="2300"/>
      <c r="F50" s="2300"/>
      <c r="G50" s="2300"/>
      <c r="H50" s="198"/>
      <c r="I50" s="198" t="s">
        <v>1646</v>
      </c>
      <c r="J50" s="198"/>
      <c r="K50" s="198"/>
      <c r="L50" s="199"/>
      <c r="M50" s="199"/>
      <c r="N50" s="199"/>
      <c r="O50" s="199"/>
      <c r="P50" s="199"/>
    </row>
    <row r="51" spans="1:16" ht="12" customHeight="1" thickBot="1">
      <c r="A51" s="200" t="s">
        <v>1647</v>
      </c>
      <c r="B51" s="201" t="s">
        <v>1648</v>
      </c>
      <c r="C51" s="202" t="s">
        <v>1649</v>
      </c>
      <c r="D51" s="166"/>
      <c r="E51" s="200" t="s">
        <v>1647</v>
      </c>
      <c r="F51" s="202" t="s">
        <v>1650</v>
      </c>
      <c r="G51" s="203" t="s">
        <v>1651</v>
      </c>
      <c r="H51" s="204"/>
      <c r="I51" s="205" t="s">
        <v>1700</v>
      </c>
      <c r="J51" s="191"/>
      <c r="K51" s="206"/>
      <c r="L51" s="207"/>
      <c r="M51" s="199"/>
      <c r="N51" s="199"/>
      <c r="O51" s="199"/>
      <c r="P51" s="199"/>
    </row>
    <row r="52" spans="1:16" s="121" customFormat="1" ht="12" customHeight="1">
      <c r="A52" s="122" t="s">
        <v>1702</v>
      </c>
      <c r="B52" s="208" t="s">
        <v>1456</v>
      </c>
      <c r="C52" s="209">
        <v>28481</v>
      </c>
      <c r="D52" s="148"/>
      <c r="E52" s="210" t="s">
        <v>1720</v>
      </c>
      <c r="F52" s="123" t="s">
        <v>1721</v>
      </c>
      <c r="G52" s="211">
        <v>103454</v>
      </c>
      <c r="H52" s="212"/>
      <c r="I52" s="122" t="s">
        <v>1488</v>
      </c>
      <c r="J52" s="213">
        <v>7.5</v>
      </c>
      <c r="K52" s="214">
        <v>43823</v>
      </c>
      <c r="L52" s="215">
        <v>43823</v>
      </c>
      <c r="M52" s="199"/>
      <c r="N52" s="199"/>
      <c r="O52" s="199"/>
      <c r="P52" s="199"/>
    </row>
    <row r="53" spans="1:16" s="121" customFormat="1" ht="12" customHeight="1">
      <c r="A53" s="132"/>
      <c r="B53" s="216" t="s">
        <v>1457</v>
      </c>
      <c r="C53" s="217">
        <v>29776</v>
      </c>
      <c r="D53" s="148"/>
      <c r="E53" s="218"/>
      <c r="F53" s="133" t="s">
        <v>1722</v>
      </c>
      <c r="G53" s="219">
        <v>124522</v>
      </c>
      <c r="H53" s="212"/>
      <c r="I53" s="132" t="s">
        <v>1489</v>
      </c>
      <c r="J53" s="174">
        <v>11</v>
      </c>
      <c r="K53" s="220">
        <v>80331</v>
      </c>
      <c r="L53" s="215">
        <v>80331</v>
      </c>
      <c r="M53" s="199"/>
      <c r="N53" s="199"/>
      <c r="O53" s="199"/>
      <c r="P53" s="199"/>
    </row>
    <row r="54" spans="1:16" s="121" customFormat="1" ht="12" customHeight="1" thickBot="1">
      <c r="A54" s="132" t="s">
        <v>1706</v>
      </c>
      <c r="B54" s="216" t="s">
        <v>1456</v>
      </c>
      <c r="C54" s="217">
        <v>28565</v>
      </c>
      <c r="D54" s="148"/>
      <c r="E54" s="218" t="s">
        <v>1723</v>
      </c>
      <c r="F54" s="133" t="s">
        <v>798</v>
      </c>
      <c r="G54" s="219">
        <v>145214</v>
      </c>
      <c r="H54" s="212"/>
      <c r="I54" s="151" t="s">
        <v>1490</v>
      </c>
      <c r="J54" s="179">
        <v>15</v>
      </c>
      <c r="K54" s="221">
        <v>100766</v>
      </c>
      <c r="L54" s="222">
        <v>100766</v>
      </c>
      <c r="M54" s="199"/>
      <c r="N54" s="199"/>
      <c r="O54" s="199"/>
      <c r="P54" s="199"/>
    </row>
    <row r="55" spans="1:16" s="121" customFormat="1" ht="12" customHeight="1" thickBot="1">
      <c r="A55" s="132" t="s">
        <v>1707</v>
      </c>
      <c r="B55" s="216" t="s">
        <v>483</v>
      </c>
      <c r="C55" s="217">
        <v>32152</v>
      </c>
      <c r="D55" s="148"/>
      <c r="E55" s="218" t="s">
        <v>1724</v>
      </c>
      <c r="F55" s="133" t="s">
        <v>1725</v>
      </c>
      <c r="G55" s="219">
        <v>168848</v>
      </c>
      <c r="H55" s="212"/>
      <c r="I55" s="223" t="s">
        <v>1616</v>
      </c>
      <c r="J55" s="224"/>
      <c r="K55" s="224"/>
      <c r="L55" s="199"/>
      <c r="M55" s="199"/>
      <c r="N55" s="199"/>
      <c r="O55" s="199"/>
      <c r="P55" s="199"/>
    </row>
    <row r="56" spans="1:16" s="121" customFormat="1" ht="12" customHeight="1" thickBot="1">
      <c r="A56" s="132" t="s">
        <v>1708</v>
      </c>
      <c r="B56" s="216" t="s">
        <v>481</v>
      </c>
      <c r="C56" s="225">
        <v>59074</v>
      </c>
      <c r="D56" s="226"/>
      <c r="E56" s="218"/>
      <c r="F56" s="133" t="s">
        <v>1726</v>
      </c>
      <c r="G56" s="185" t="s">
        <v>337</v>
      </c>
      <c r="H56" s="184"/>
      <c r="I56" s="227" t="s">
        <v>1647</v>
      </c>
      <c r="J56" s="228"/>
      <c r="K56" s="229" t="s">
        <v>1651</v>
      </c>
      <c r="L56" s="199"/>
      <c r="M56" s="199"/>
      <c r="N56" s="199"/>
      <c r="O56" s="199"/>
      <c r="P56" s="199"/>
    </row>
    <row r="57" spans="1:16" s="121" customFormat="1" ht="12" customHeight="1">
      <c r="A57" s="132" t="s">
        <v>1718</v>
      </c>
      <c r="B57" s="216" t="s">
        <v>809</v>
      </c>
      <c r="C57" s="225">
        <v>100466</v>
      </c>
      <c r="D57" s="226"/>
      <c r="E57" s="218"/>
      <c r="F57" s="133" t="s">
        <v>1727</v>
      </c>
      <c r="G57" s="219">
        <v>193849</v>
      </c>
      <c r="H57" s="212"/>
      <c r="I57" s="122" t="s">
        <v>1618</v>
      </c>
      <c r="J57" s="211"/>
      <c r="K57" s="230">
        <f>16800*1.2</f>
        <v>20160</v>
      </c>
      <c r="L57" s="199"/>
      <c r="M57" s="199"/>
      <c r="N57" s="199"/>
      <c r="O57" s="199"/>
      <c r="P57" s="199"/>
    </row>
    <row r="58" spans="1:16" s="121" customFormat="1" ht="12" customHeight="1">
      <c r="A58" s="132"/>
      <c r="B58" s="216" t="s">
        <v>1753</v>
      </c>
      <c r="C58" s="225">
        <v>100903</v>
      </c>
      <c r="D58" s="226"/>
      <c r="E58" s="218"/>
      <c r="F58" s="133" t="s">
        <v>1728</v>
      </c>
      <c r="G58" s="219">
        <v>218661</v>
      </c>
      <c r="H58" s="212"/>
      <c r="I58" s="132" t="s">
        <v>1620</v>
      </c>
      <c r="J58" s="219"/>
      <c r="K58" s="231">
        <f>20020*1.2</f>
        <v>24024</v>
      </c>
      <c r="L58" s="199"/>
      <c r="M58" s="199"/>
      <c r="N58" s="199"/>
      <c r="O58" s="199"/>
      <c r="P58" s="199"/>
    </row>
    <row r="59" spans="1:16" s="121" customFormat="1" ht="12" customHeight="1">
      <c r="A59" s="132" t="s">
        <v>1719</v>
      </c>
      <c r="B59" s="216" t="s">
        <v>809</v>
      </c>
      <c r="C59" s="225">
        <v>102668</v>
      </c>
      <c r="D59" s="226"/>
      <c r="E59" s="218" t="s">
        <v>1703</v>
      </c>
      <c r="F59" s="133" t="s">
        <v>1704</v>
      </c>
      <c r="G59" s="219">
        <v>131341</v>
      </c>
      <c r="H59" s="212"/>
      <c r="I59" s="132" t="s">
        <v>1622</v>
      </c>
      <c r="J59" s="219"/>
      <c r="K59" s="231">
        <f>38500*1.2</f>
        <v>46200</v>
      </c>
      <c r="L59" s="199"/>
      <c r="M59" s="199"/>
      <c r="N59" s="199"/>
      <c r="O59" s="199"/>
      <c r="P59" s="199"/>
    </row>
    <row r="60" spans="1:16" s="121" customFormat="1" ht="12" customHeight="1" thickBot="1">
      <c r="A60" s="151"/>
      <c r="B60" s="232" t="s">
        <v>797</v>
      </c>
      <c r="C60" s="233">
        <v>106225</v>
      </c>
      <c r="D60" s="226"/>
      <c r="E60" s="234" t="s">
        <v>1705</v>
      </c>
      <c r="F60" s="152" t="s">
        <v>1704</v>
      </c>
      <c r="G60" s="235">
        <f>135582*1.2</f>
        <v>162698.4</v>
      </c>
      <c r="H60" s="236"/>
      <c r="I60" s="132" t="s">
        <v>1624</v>
      </c>
      <c r="J60" s="219"/>
      <c r="K60" s="231">
        <f>41720*1.2</f>
        <v>50064</v>
      </c>
      <c r="L60" s="199"/>
      <c r="M60" s="199"/>
      <c r="N60" s="199"/>
      <c r="O60" s="199"/>
      <c r="P60" s="199"/>
    </row>
    <row r="61" spans="1:16" ht="12" customHeight="1" thickBot="1">
      <c r="A61" s="2301" t="s">
        <v>1646</v>
      </c>
      <c r="B61" s="2301"/>
      <c r="C61" s="2301"/>
      <c r="D61" s="2301"/>
      <c r="E61" s="2301"/>
      <c r="F61" s="2301"/>
      <c r="G61" s="2302"/>
      <c r="H61" s="198"/>
      <c r="I61" s="132" t="s">
        <v>1626</v>
      </c>
      <c r="J61" s="185"/>
      <c r="K61" s="231">
        <f>62720*1.2</f>
        <v>75264</v>
      </c>
      <c r="L61" s="199"/>
      <c r="M61" s="199"/>
      <c r="N61" s="199"/>
      <c r="O61" s="199"/>
      <c r="P61" s="199"/>
    </row>
    <row r="62" spans="1:14" ht="12" customHeight="1" thickBot="1">
      <c r="A62" s="200" t="s">
        <v>1647</v>
      </c>
      <c r="B62" s="201" t="s">
        <v>1648</v>
      </c>
      <c r="C62" s="202" t="s">
        <v>1649</v>
      </c>
      <c r="D62" s="166"/>
      <c r="E62" s="200" t="s">
        <v>1647</v>
      </c>
      <c r="F62" s="200" t="s">
        <v>1650</v>
      </c>
      <c r="G62" s="202" t="s">
        <v>1651</v>
      </c>
      <c r="H62" s="166"/>
      <c r="I62" s="132" t="s">
        <v>1629</v>
      </c>
      <c r="J62" s="219"/>
      <c r="K62" s="231">
        <f>63420*1.2</f>
        <v>76104</v>
      </c>
      <c r="L62" s="199"/>
      <c r="M62" s="199"/>
      <c r="N62" s="199"/>
    </row>
    <row r="63" spans="1:14" s="121" customFormat="1" ht="12" customHeight="1">
      <c r="A63" s="237" t="s">
        <v>1652</v>
      </c>
      <c r="B63" s="238"/>
      <c r="C63" s="239"/>
      <c r="D63" s="240"/>
      <c r="E63" s="237" t="s">
        <v>1653</v>
      </c>
      <c r="F63" s="213"/>
      <c r="G63" s="241"/>
      <c r="H63" s="242"/>
      <c r="I63" s="132" t="s">
        <v>1631</v>
      </c>
      <c r="J63" s="219"/>
      <c r="K63" s="231">
        <f>87780*1.2</f>
        <v>105336</v>
      </c>
      <c r="L63" s="199"/>
      <c r="M63" s="199"/>
      <c r="N63" s="199"/>
    </row>
    <row r="64" spans="1:14" s="121" customFormat="1" ht="12" customHeight="1">
      <c r="A64" s="132" t="s">
        <v>1654</v>
      </c>
      <c r="B64" s="169" t="s">
        <v>1445</v>
      </c>
      <c r="C64" s="217">
        <v>5902</v>
      </c>
      <c r="D64" s="148"/>
      <c r="E64" s="132" t="s">
        <v>1655</v>
      </c>
      <c r="F64" s="174">
        <v>1.1</v>
      </c>
      <c r="G64" s="243">
        <v>18138</v>
      </c>
      <c r="H64" s="244"/>
      <c r="I64" s="132" t="s">
        <v>1633</v>
      </c>
      <c r="J64" s="219"/>
      <c r="K64" s="231">
        <f>91840*1.2</f>
        <v>110208</v>
      </c>
      <c r="L64" s="199"/>
      <c r="M64" s="199"/>
      <c r="N64" s="199"/>
    </row>
    <row r="65" spans="1:14" s="121" customFormat="1" ht="12" customHeight="1">
      <c r="A65" s="132" t="s">
        <v>1656</v>
      </c>
      <c r="B65" s="169" t="s">
        <v>1446</v>
      </c>
      <c r="C65" s="217">
        <v>8638</v>
      </c>
      <c r="D65" s="148"/>
      <c r="E65" s="132" t="s">
        <v>1657</v>
      </c>
      <c r="F65" s="174">
        <v>3</v>
      </c>
      <c r="G65" s="243">
        <v>25272</v>
      </c>
      <c r="H65" s="244"/>
      <c r="I65" s="132" t="s">
        <v>1635</v>
      </c>
      <c r="J65" s="245"/>
      <c r="K65" s="231">
        <f>121240*1.2</f>
        <v>145488</v>
      </c>
      <c r="L65" s="199"/>
      <c r="M65" s="199"/>
      <c r="N65" s="199"/>
    </row>
    <row r="66" spans="1:14" s="121" customFormat="1" ht="12" customHeight="1">
      <c r="A66" s="132" t="s">
        <v>1658</v>
      </c>
      <c r="B66" s="169" t="s">
        <v>1447</v>
      </c>
      <c r="C66" s="217">
        <v>9645</v>
      </c>
      <c r="D66" s="148"/>
      <c r="E66" s="132" t="s">
        <v>1659</v>
      </c>
      <c r="F66" s="174">
        <v>11</v>
      </c>
      <c r="G66" s="243">
        <v>36851</v>
      </c>
      <c r="H66" s="244"/>
      <c r="I66" s="132" t="s">
        <v>1637</v>
      </c>
      <c r="J66" s="246"/>
      <c r="K66" s="231">
        <f>135380*1.2</f>
        <v>162456</v>
      </c>
      <c r="L66" s="199"/>
      <c r="M66" s="199"/>
      <c r="N66" s="199"/>
    </row>
    <row r="67" spans="1:14" s="121" customFormat="1" ht="12" customHeight="1" thickBot="1">
      <c r="A67" s="132" t="s">
        <v>1660</v>
      </c>
      <c r="B67" s="169" t="s">
        <v>1448</v>
      </c>
      <c r="C67" s="217">
        <v>10365</v>
      </c>
      <c r="D67" s="148"/>
      <c r="E67" s="151" t="s">
        <v>1661</v>
      </c>
      <c r="F67" s="179">
        <v>30</v>
      </c>
      <c r="G67" s="247">
        <v>68523</v>
      </c>
      <c r="H67" s="244"/>
      <c r="I67" s="132" t="s">
        <v>1639</v>
      </c>
      <c r="J67" s="248"/>
      <c r="K67" s="231">
        <f>175840*1.2</f>
        <v>211008</v>
      </c>
      <c r="L67" s="199"/>
      <c r="M67" s="199"/>
      <c r="N67" s="199"/>
    </row>
    <row r="68" spans="1:14" s="121" customFormat="1" ht="12" customHeight="1" thickBot="1">
      <c r="A68" s="151" t="s">
        <v>1662</v>
      </c>
      <c r="B68" s="177">
        <v>2.2</v>
      </c>
      <c r="C68" s="249">
        <v>22458</v>
      </c>
      <c r="D68" s="184"/>
      <c r="E68" s="250" t="s">
        <v>1664</v>
      </c>
      <c r="F68" s="251"/>
      <c r="G68" s="252"/>
      <c r="H68" s="253"/>
      <c r="I68" s="151" t="s">
        <v>1641</v>
      </c>
      <c r="J68" s="254"/>
      <c r="K68" s="255">
        <f>124600*1.2</f>
        <v>149520</v>
      </c>
      <c r="L68" s="199"/>
      <c r="M68" s="199"/>
      <c r="N68" s="199"/>
    </row>
    <row r="69" spans="1:14" s="121" customFormat="1" ht="12" customHeight="1" thickBot="1">
      <c r="A69" s="250" t="s">
        <v>1663</v>
      </c>
      <c r="B69" s="256"/>
      <c r="C69" s="257"/>
      <c r="D69" s="184"/>
      <c r="E69" s="122" t="s">
        <v>1666</v>
      </c>
      <c r="F69" s="213" t="s">
        <v>1449</v>
      </c>
      <c r="G69" s="258">
        <v>6089</v>
      </c>
      <c r="H69" s="226"/>
      <c r="I69" s="104" t="s">
        <v>1589</v>
      </c>
      <c r="J69" s="259"/>
      <c r="K69" s="206"/>
      <c r="L69" s="199"/>
      <c r="M69" s="199"/>
      <c r="N69" s="199"/>
    </row>
    <row r="70" spans="1:14" s="121" customFormat="1" ht="12" customHeight="1">
      <c r="A70" s="122" t="s">
        <v>1665</v>
      </c>
      <c r="B70" s="213">
        <v>0.25</v>
      </c>
      <c r="C70" s="258">
        <v>11328</v>
      </c>
      <c r="D70" s="226"/>
      <c r="E70" s="132" t="s">
        <v>1668</v>
      </c>
      <c r="F70" s="174" t="s">
        <v>1450</v>
      </c>
      <c r="G70" s="225">
        <v>7505</v>
      </c>
      <c r="H70" s="226"/>
      <c r="I70" s="122" t="s">
        <v>1590</v>
      </c>
      <c r="J70" s="260"/>
      <c r="K70" s="230">
        <f>35940*1.2</f>
        <v>43128</v>
      </c>
      <c r="L70" s="199"/>
      <c r="M70" s="199"/>
      <c r="N70" s="199"/>
    </row>
    <row r="71" spans="1:14" s="121" customFormat="1" ht="12" customHeight="1">
      <c r="A71" s="132" t="s">
        <v>1667</v>
      </c>
      <c r="B71" s="174">
        <v>1.5</v>
      </c>
      <c r="C71" s="225">
        <v>14585</v>
      </c>
      <c r="D71" s="226"/>
      <c r="E71" s="132" t="s">
        <v>1669</v>
      </c>
      <c r="F71" s="174" t="s">
        <v>1451</v>
      </c>
      <c r="G71" s="225">
        <v>11186</v>
      </c>
      <c r="H71" s="226"/>
      <c r="I71" s="132" t="s">
        <v>1591</v>
      </c>
      <c r="J71" s="248"/>
      <c r="K71" s="231" t="s">
        <v>908</v>
      </c>
      <c r="L71" s="199"/>
      <c r="M71" s="199"/>
      <c r="N71" s="199"/>
    </row>
    <row r="72" spans="1:14" s="121" customFormat="1" ht="12" customHeight="1">
      <c r="A72" s="132" t="s">
        <v>1654</v>
      </c>
      <c r="B72" s="174">
        <v>0.75</v>
      </c>
      <c r="C72" s="225">
        <v>20532</v>
      </c>
      <c r="D72" s="226"/>
      <c r="E72" s="132" t="s">
        <v>1670</v>
      </c>
      <c r="F72" s="174" t="s">
        <v>1452</v>
      </c>
      <c r="G72" s="225">
        <v>14585</v>
      </c>
      <c r="H72" s="226"/>
      <c r="I72" s="132" t="s">
        <v>1592</v>
      </c>
      <c r="J72" s="248"/>
      <c r="K72" s="225">
        <f>43092*1.2</f>
        <v>51710.4</v>
      </c>
      <c r="L72" s="199"/>
      <c r="M72" s="199"/>
      <c r="N72" s="199"/>
    </row>
    <row r="73" spans="1:14" s="121" customFormat="1" ht="12" customHeight="1">
      <c r="A73" s="132" t="s">
        <v>1656</v>
      </c>
      <c r="B73" s="174">
        <v>2.2</v>
      </c>
      <c r="C73" s="225">
        <v>24500</v>
      </c>
      <c r="D73" s="226"/>
      <c r="E73" s="132" t="s">
        <v>1671</v>
      </c>
      <c r="F73" s="174" t="s">
        <v>1453</v>
      </c>
      <c r="G73" s="225">
        <v>19258</v>
      </c>
      <c r="H73" s="236"/>
      <c r="I73" s="132" t="s">
        <v>1593</v>
      </c>
      <c r="J73" s="248"/>
      <c r="K73" s="231">
        <f>24620*1.2</f>
        <v>29544</v>
      </c>
      <c r="L73" s="199"/>
      <c r="M73" s="199"/>
      <c r="N73" s="199"/>
    </row>
    <row r="74" spans="1:14" s="121" customFormat="1" ht="12" customHeight="1" thickBot="1">
      <c r="A74" s="151" t="s">
        <v>1658</v>
      </c>
      <c r="B74" s="179">
        <v>5.5</v>
      </c>
      <c r="C74" s="233">
        <v>42480</v>
      </c>
      <c r="D74" s="226"/>
      <c r="E74" s="151" t="s">
        <v>1672</v>
      </c>
      <c r="F74" s="179" t="s">
        <v>1454</v>
      </c>
      <c r="G74" s="261">
        <f>23875*1.2</f>
        <v>28650</v>
      </c>
      <c r="H74" s="226"/>
      <c r="I74" s="132" t="s">
        <v>1595</v>
      </c>
      <c r="J74" s="248"/>
      <c r="K74" s="231" t="s">
        <v>908</v>
      </c>
      <c r="L74" s="199"/>
      <c r="M74" s="199"/>
      <c r="N74" s="199"/>
    </row>
    <row r="75" spans="1:14" s="121" customFormat="1" ht="12" customHeight="1" thickBot="1">
      <c r="A75" s="262" t="s">
        <v>1673</v>
      </c>
      <c r="B75" s="251"/>
      <c r="C75" s="257"/>
      <c r="D75" s="184"/>
      <c r="E75" s="263" t="s">
        <v>1965</v>
      </c>
      <c r="F75" s="264"/>
      <c r="G75" s="252"/>
      <c r="H75" s="253"/>
      <c r="I75" s="132" t="s">
        <v>1597</v>
      </c>
      <c r="J75" s="248"/>
      <c r="K75" s="231">
        <f>29530*1.2</f>
        <v>35436</v>
      </c>
      <c r="L75" s="199"/>
      <c r="M75" s="199"/>
      <c r="N75" s="199"/>
    </row>
    <row r="76" spans="1:14" s="121" customFormat="1" ht="12" customHeight="1">
      <c r="A76" s="122" t="s">
        <v>1655</v>
      </c>
      <c r="B76" s="123">
        <v>0.55</v>
      </c>
      <c r="C76" s="265">
        <v>7363</v>
      </c>
      <c r="D76" s="236"/>
      <c r="E76" s="122" t="s">
        <v>1670</v>
      </c>
      <c r="F76" s="266">
        <v>42309</v>
      </c>
      <c r="G76" s="123">
        <f>42480*1.2</f>
        <v>50976</v>
      </c>
      <c r="H76" s="242"/>
      <c r="I76" s="132" t="s">
        <v>1598</v>
      </c>
      <c r="J76" s="248"/>
      <c r="K76" s="231">
        <f>8320*1.2</f>
        <v>9984</v>
      </c>
      <c r="L76" s="199"/>
      <c r="M76" s="199"/>
      <c r="N76" s="199"/>
    </row>
    <row r="77" spans="1:14" s="121" customFormat="1" ht="12" customHeight="1">
      <c r="A77" s="132" t="s">
        <v>1657</v>
      </c>
      <c r="B77" s="133">
        <v>0.55</v>
      </c>
      <c r="C77" s="245">
        <v>9487</v>
      </c>
      <c r="D77" s="236"/>
      <c r="E77" s="132" t="s">
        <v>1671</v>
      </c>
      <c r="F77" s="174">
        <v>15</v>
      </c>
      <c r="G77" s="225">
        <v>62463</v>
      </c>
      <c r="H77" s="226"/>
      <c r="I77" s="132" t="s">
        <v>1599</v>
      </c>
      <c r="J77" s="248"/>
      <c r="K77" s="225">
        <f>6844*1.2</f>
        <v>8212.8</v>
      </c>
      <c r="L77" s="199"/>
      <c r="M77" s="199"/>
      <c r="N77" s="199"/>
    </row>
    <row r="78" spans="1:14" s="121" customFormat="1" ht="12" customHeight="1" thickBot="1">
      <c r="A78" s="132" t="s">
        <v>1659</v>
      </c>
      <c r="B78" s="133">
        <v>1.1</v>
      </c>
      <c r="C78" s="245">
        <v>12461</v>
      </c>
      <c r="D78" s="236"/>
      <c r="E78" s="151" t="s">
        <v>1672</v>
      </c>
      <c r="F78" s="179">
        <v>30</v>
      </c>
      <c r="G78" s="233">
        <v>111199</v>
      </c>
      <c r="H78" s="226"/>
      <c r="I78" s="132" t="s">
        <v>1600</v>
      </c>
      <c r="J78" s="248"/>
      <c r="K78" s="225">
        <f>100601.2</f>
        <v>100601.2</v>
      </c>
      <c r="L78" s="199"/>
      <c r="M78" s="199"/>
      <c r="N78" s="199"/>
    </row>
    <row r="79" spans="1:14" s="121" customFormat="1" ht="12" customHeight="1" thickBot="1">
      <c r="A79" s="151" t="s">
        <v>1661</v>
      </c>
      <c r="B79" s="152">
        <v>4</v>
      </c>
      <c r="C79" s="267">
        <v>19116</v>
      </c>
      <c r="D79" s="236"/>
      <c r="E79" s="263" t="s">
        <v>1966</v>
      </c>
      <c r="F79" s="264"/>
      <c r="G79" s="252"/>
      <c r="H79" s="253"/>
      <c r="I79" s="132" t="s">
        <v>1601</v>
      </c>
      <c r="J79" s="248"/>
      <c r="K79" s="231">
        <f>16625*1.2</f>
        <v>19950</v>
      </c>
      <c r="L79" s="199"/>
      <c r="M79" s="199"/>
      <c r="N79" s="199"/>
    </row>
    <row r="80" spans="1:14" s="121" customFormat="1" ht="12" customHeight="1" thickBot="1">
      <c r="A80" s="268" t="s">
        <v>1699</v>
      </c>
      <c r="B80" s="269"/>
      <c r="C80" s="270"/>
      <c r="D80" s="184"/>
      <c r="E80" s="122" t="s">
        <v>1670</v>
      </c>
      <c r="F80" s="213" t="s">
        <v>1455</v>
      </c>
      <c r="G80" s="258">
        <f>43896*1.2</f>
        <v>52675.2</v>
      </c>
      <c r="H80" s="236"/>
      <c r="I80" s="132" t="s">
        <v>1602</v>
      </c>
      <c r="J80" s="248"/>
      <c r="K80" s="231">
        <f>13275*1.2</f>
        <v>15930</v>
      </c>
      <c r="L80" s="199"/>
      <c r="M80" s="199"/>
      <c r="N80" s="199"/>
    </row>
    <row r="81" spans="1:14" s="121" customFormat="1" ht="12" customHeight="1">
      <c r="A81" s="122" t="s">
        <v>1659</v>
      </c>
      <c r="B81" s="213">
        <v>0.37</v>
      </c>
      <c r="C81" s="209">
        <v>16987</v>
      </c>
      <c r="D81" s="148"/>
      <c r="E81" s="132" t="s">
        <v>1671</v>
      </c>
      <c r="F81" s="174">
        <v>11</v>
      </c>
      <c r="G81" s="225">
        <f>59472*1.2</f>
        <v>71366.4</v>
      </c>
      <c r="H81" s="226"/>
      <c r="I81" s="132" t="s">
        <v>1603</v>
      </c>
      <c r="J81" s="248"/>
      <c r="K81" s="231">
        <f>20160*1.2</f>
        <v>24192</v>
      </c>
      <c r="L81" s="199"/>
      <c r="M81" s="199"/>
      <c r="N81" s="199"/>
    </row>
    <row r="82" spans="1:14" s="121" customFormat="1" ht="12" customHeight="1">
      <c r="A82" s="132" t="s">
        <v>1661</v>
      </c>
      <c r="B82" s="174">
        <v>0.75</v>
      </c>
      <c r="C82" s="217">
        <v>19579</v>
      </c>
      <c r="D82" s="148"/>
      <c r="E82" s="132" t="s">
        <v>1671</v>
      </c>
      <c r="F82" s="174">
        <v>18.5</v>
      </c>
      <c r="G82" s="225">
        <f>69596*1.2</f>
        <v>83515.2</v>
      </c>
      <c r="H82" s="226"/>
      <c r="I82" s="132" t="s">
        <v>1604</v>
      </c>
      <c r="J82" s="248"/>
      <c r="K82" s="225">
        <f>10974*1.2</f>
        <v>13168.8</v>
      </c>
      <c r="L82" s="199"/>
      <c r="M82" s="199"/>
      <c r="N82" s="199"/>
    </row>
    <row r="83" spans="1:14" s="121" customFormat="1" ht="12" customHeight="1" thickBot="1">
      <c r="A83" s="151" t="s">
        <v>1698</v>
      </c>
      <c r="B83" s="179">
        <v>2.2</v>
      </c>
      <c r="C83" s="249">
        <v>27640</v>
      </c>
      <c r="D83" s="148"/>
      <c r="E83" s="151" t="s">
        <v>1672</v>
      </c>
      <c r="F83" s="179">
        <v>11</v>
      </c>
      <c r="G83" s="233">
        <f>70558*1.2</f>
        <v>84669.59999999999</v>
      </c>
      <c r="H83" s="226"/>
      <c r="I83" s="151" t="s">
        <v>1606</v>
      </c>
      <c r="J83" s="254"/>
      <c r="K83" s="255">
        <f>19725*1.2</f>
        <v>23670</v>
      </c>
      <c r="L83" s="199"/>
      <c r="M83" s="199"/>
      <c r="N83" s="199"/>
    </row>
    <row r="84" spans="1:14" s="121" customFormat="1" ht="15" customHeight="1" thickBot="1">
      <c r="A84" s="2303" t="s">
        <v>1491</v>
      </c>
      <c r="B84" s="2303"/>
      <c r="C84" s="2303"/>
      <c r="D84" s="2303"/>
      <c r="E84" s="2303"/>
      <c r="F84" s="2303"/>
      <c r="G84" s="2303"/>
      <c r="H84" s="2303"/>
      <c r="I84" s="2303"/>
      <c r="J84" s="2303"/>
      <c r="K84" s="2303"/>
      <c r="L84" s="199"/>
      <c r="M84" s="199"/>
      <c r="N84" s="199"/>
    </row>
    <row r="85" spans="1:14" s="121" customFormat="1" ht="12" customHeight="1" thickBot="1">
      <c r="A85" s="271" t="s">
        <v>947</v>
      </c>
      <c r="B85" s="272">
        <v>11</v>
      </c>
      <c r="C85" s="273">
        <f>191212*1.2</f>
        <v>229454.4</v>
      </c>
      <c r="D85" s="236"/>
      <c r="E85" s="271" t="s">
        <v>948</v>
      </c>
      <c r="F85" s="272">
        <v>30</v>
      </c>
      <c r="G85" s="273">
        <f>483210*1.2</f>
        <v>579852</v>
      </c>
      <c r="H85" s="226"/>
      <c r="I85" s="271" t="s">
        <v>949</v>
      </c>
      <c r="J85" s="272">
        <v>75</v>
      </c>
      <c r="K85" s="273">
        <f>697616*1.2</f>
        <v>837139.2</v>
      </c>
      <c r="L85" s="199"/>
      <c r="M85" s="199"/>
      <c r="N85" s="199"/>
    </row>
    <row r="86" spans="1:14" s="121" customFormat="1" ht="12" customHeight="1">
      <c r="A86" s="274" t="s">
        <v>1493</v>
      </c>
      <c r="B86" s="81"/>
      <c r="C86" s="81"/>
      <c r="D86" s="275"/>
      <c r="E86" s="81"/>
      <c r="F86" s="81"/>
      <c r="G86" s="81"/>
      <c r="H86" s="275"/>
      <c r="I86" s="276"/>
      <c r="J86" s="277"/>
      <c r="K86" s="278" t="s">
        <v>1492</v>
      </c>
      <c r="L86" s="199"/>
      <c r="M86" s="199"/>
      <c r="N86" s="199"/>
    </row>
    <row r="87" spans="1:14" s="279" customFormat="1" ht="12" customHeight="1">
      <c r="A87" s="206"/>
      <c r="B87" s="191"/>
      <c r="C87" s="236"/>
      <c r="D87" s="236"/>
      <c r="E87" s="121"/>
      <c r="F87" s="121"/>
      <c r="H87" s="236"/>
      <c r="I87" s="206"/>
      <c r="J87" s="280"/>
      <c r="K87" s="236"/>
      <c r="L87" s="199"/>
      <c r="M87" s="199"/>
      <c r="N87" s="199"/>
    </row>
    <row r="88" spans="1:14" s="90" customFormat="1" ht="12" customHeight="1">
      <c r="A88" s="206"/>
      <c r="B88" s="190"/>
      <c r="C88" s="236"/>
      <c r="D88" s="236"/>
      <c r="E88" s="206"/>
      <c r="F88" s="253"/>
      <c r="G88" s="281"/>
      <c r="H88" s="281"/>
      <c r="I88" s="206"/>
      <c r="J88" s="280"/>
      <c r="K88" s="236"/>
      <c r="L88" s="199"/>
      <c r="M88" s="199"/>
      <c r="N88" s="199"/>
    </row>
    <row r="89" spans="1:17" s="90" customFormat="1" ht="18.75" customHeight="1">
      <c r="A89" s="282"/>
      <c r="B89" s="282"/>
      <c r="C89" s="283"/>
      <c r="D89" s="283"/>
      <c r="E89" s="283"/>
      <c r="F89" s="283"/>
      <c r="G89" s="283"/>
      <c r="H89" s="283"/>
      <c r="I89" s="206"/>
      <c r="J89" s="280"/>
      <c r="K89" s="236"/>
      <c r="L89" s="284"/>
      <c r="M89" s="285"/>
      <c r="N89" s="284"/>
      <c r="O89" s="285"/>
      <c r="P89" s="284"/>
      <c r="Q89" s="285"/>
    </row>
    <row r="90" spans="1:17" s="81" customFormat="1" ht="9.75" customHeight="1">
      <c r="A90" s="73"/>
      <c r="B90" s="286"/>
      <c r="C90" s="77"/>
      <c r="D90" s="77"/>
      <c r="E90" s="287"/>
      <c r="F90" s="288"/>
      <c r="G90" s="288"/>
      <c r="H90" s="288"/>
      <c r="I90" s="206"/>
      <c r="J90" s="280"/>
      <c r="K90" s="236"/>
      <c r="L90" s="289"/>
      <c r="M90" s="290"/>
      <c r="N90" s="289"/>
      <c r="O90" s="290"/>
      <c r="P90" s="289"/>
      <c r="Q90" s="290"/>
    </row>
    <row r="91" spans="1:17" s="90" customFormat="1" ht="10.5" customHeight="1">
      <c r="A91" s="52"/>
      <c r="B91" s="291"/>
      <c r="C91" s="107"/>
      <c r="D91" s="107"/>
      <c r="E91" s="287"/>
      <c r="F91" s="288"/>
      <c r="G91" s="288"/>
      <c r="H91" s="288"/>
      <c r="I91" s="292"/>
      <c r="J91" s="280"/>
      <c r="K91" s="280"/>
      <c r="L91" s="289"/>
      <c r="M91" s="290"/>
      <c r="N91" s="289"/>
      <c r="O91" s="290"/>
      <c r="P91" s="289"/>
      <c r="Q91" s="290"/>
    </row>
    <row r="92" spans="1:17" s="90" customFormat="1" ht="10.5" customHeight="1">
      <c r="A92" s="80"/>
      <c r="B92" s="293"/>
      <c r="C92" s="294"/>
      <c r="D92" s="294"/>
      <c r="E92" s="287"/>
      <c r="F92" s="288"/>
      <c r="G92" s="288"/>
      <c r="H92" s="288"/>
      <c r="I92" s="292"/>
      <c r="J92" s="280"/>
      <c r="K92" s="280"/>
      <c r="L92" s="289"/>
      <c r="M92" s="290"/>
      <c r="N92" s="289"/>
      <c r="O92" s="290"/>
      <c r="P92" s="289"/>
      <c r="Q92" s="290"/>
    </row>
    <row r="93" spans="1:17" s="90" customFormat="1" ht="10.5" customHeight="1">
      <c r="A93" s="80"/>
      <c r="B93" s="294"/>
      <c r="C93" s="294"/>
      <c r="D93" s="294"/>
      <c r="E93" s="287"/>
      <c r="F93" s="288"/>
      <c r="G93" s="288"/>
      <c r="H93" s="288"/>
      <c r="I93" s="292"/>
      <c r="J93" s="280"/>
      <c r="K93" s="280"/>
      <c r="L93" s="289"/>
      <c r="M93" s="290"/>
      <c r="N93" s="289"/>
      <c r="O93" s="290"/>
      <c r="P93" s="289"/>
      <c r="Q93" s="290"/>
    </row>
    <row r="94" spans="1:17" s="90" customFormat="1" ht="10.5" customHeight="1">
      <c r="A94" s="80"/>
      <c r="B94" s="294"/>
      <c r="C94" s="294"/>
      <c r="D94" s="294"/>
      <c r="E94" s="287"/>
      <c r="F94" s="288"/>
      <c r="G94" s="288"/>
      <c r="H94" s="288"/>
      <c r="I94" s="282"/>
      <c r="J94" s="282"/>
      <c r="K94" s="285"/>
      <c r="L94" s="289"/>
      <c r="M94" s="290"/>
      <c r="N94" s="289"/>
      <c r="O94" s="290"/>
      <c r="P94" s="289"/>
      <c r="Q94" s="290"/>
    </row>
    <row r="95" spans="1:17" s="90" customFormat="1" ht="10.5" customHeight="1">
      <c r="A95" s="80"/>
      <c r="B95" s="294"/>
      <c r="C95" s="294"/>
      <c r="D95" s="294"/>
      <c r="E95" s="287"/>
      <c r="F95" s="288"/>
      <c r="G95" s="288"/>
      <c r="H95" s="288"/>
      <c r="I95" s="289"/>
      <c r="J95" s="289"/>
      <c r="K95" s="295"/>
      <c r="L95" s="289"/>
      <c r="M95" s="290"/>
      <c r="N95" s="289"/>
      <c r="O95" s="290"/>
      <c r="P95" s="289"/>
      <c r="Q95" s="290"/>
    </row>
    <row r="96" spans="1:17" s="90" customFormat="1" ht="10.5" customHeight="1">
      <c r="A96" s="80"/>
      <c r="B96" s="294"/>
      <c r="C96" s="294"/>
      <c r="D96" s="294"/>
      <c r="E96" s="287"/>
      <c r="F96" s="288"/>
      <c r="G96" s="288"/>
      <c r="H96" s="288"/>
      <c r="I96" s="289"/>
      <c r="J96" s="289"/>
      <c r="K96" s="295"/>
      <c r="L96" s="289"/>
      <c r="M96" s="290"/>
      <c r="N96" s="289"/>
      <c r="O96" s="290"/>
      <c r="P96" s="289"/>
      <c r="Q96" s="290"/>
    </row>
    <row r="97" spans="1:17" s="90" customFormat="1" ht="10.5" customHeight="1">
      <c r="A97" s="80"/>
      <c r="B97" s="294"/>
      <c r="C97" s="294"/>
      <c r="D97" s="294"/>
      <c r="E97" s="287"/>
      <c r="F97" s="288"/>
      <c r="G97" s="288"/>
      <c r="H97" s="288"/>
      <c r="I97" s="289"/>
      <c r="J97" s="289"/>
      <c r="K97" s="295"/>
      <c r="L97" s="289"/>
      <c r="M97" s="290"/>
      <c r="N97" s="289"/>
      <c r="O97" s="290"/>
      <c r="P97" s="289"/>
      <c r="Q97" s="290"/>
    </row>
    <row r="98" spans="1:17" s="90" customFormat="1" ht="10.5" customHeight="1">
      <c r="A98" s="80"/>
      <c r="B98" s="294"/>
      <c r="C98" s="294"/>
      <c r="D98" s="294"/>
      <c r="E98" s="287"/>
      <c r="F98" s="288"/>
      <c r="G98" s="288"/>
      <c r="H98" s="288"/>
      <c r="I98" s="289"/>
      <c r="J98" s="289"/>
      <c r="K98" s="295"/>
      <c r="L98" s="289"/>
      <c r="M98" s="290"/>
      <c r="N98" s="289"/>
      <c r="O98" s="290"/>
      <c r="P98" s="289"/>
      <c r="Q98" s="290"/>
    </row>
    <row r="99" spans="1:17" s="90" customFormat="1" ht="10.5" customHeight="1">
      <c r="A99" s="80"/>
      <c r="B99" s="294"/>
      <c r="C99" s="80"/>
      <c r="D99" s="80"/>
      <c r="E99" s="287"/>
      <c r="F99" s="288"/>
      <c r="G99" s="288"/>
      <c r="H99" s="288"/>
      <c r="I99" s="289"/>
      <c r="J99" s="289"/>
      <c r="K99" s="295"/>
      <c r="L99" s="289"/>
      <c r="M99" s="290"/>
      <c r="N99" s="289"/>
      <c r="O99" s="290"/>
      <c r="P99" s="289"/>
      <c r="Q99" s="290"/>
    </row>
    <row r="100" spans="1:17" s="90" customFormat="1" ht="10.5" customHeight="1">
      <c r="A100" s="80"/>
      <c r="B100" s="294"/>
      <c r="C100" s="80"/>
      <c r="D100" s="80"/>
      <c r="E100" s="287"/>
      <c r="F100" s="288"/>
      <c r="G100" s="288"/>
      <c r="H100" s="288"/>
      <c r="I100" s="289"/>
      <c r="J100" s="289"/>
      <c r="K100" s="295"/>
      <c r="L100" s="289"/>
      <c r="M100" s="290"/>
      <c r="N100" s="289"/>
      <c r="O100" s="290"/>
      <c r="P100" s="289"/>
      <c r="Q100" s="290"/>
    </row>
    <row r="101" spans="1:17" s="90" customFormat="1" ht="10.5" customHeight="1">
      <c r="A101" s="80"/>
      <c r="B101" s="294"/>
      <c r="C101" s="80"/>
      <c r="D101" s="80"/>
      <c r="E101" s="287"/>
      <c r="F101" s="288"/>
      <c r="G101" s="288"/>
      <c r="H101" s="288"/>
      <c r="I101" s="289"/>
      <c r="J101" s="289"/>
      <c r="K101" s="295"/>
      <c r="L101" s="289"/>
      <c r="M101" s="290"/>
      <c r="N101" s="289"/>
      <c r="O101" s="290"/>
      <c r="P101" s="289"/>
      <c r="Q101" s="290"/>
    </row>
    <row r="102" spans="1:17" s="90" customFormat="1" ht="10.5" customHeight="1">
      <c r="A102" s="80"/>
      <c r="B102" s="294"/>
      <c r="C102" s="296"/>
      <c r="D102" s="296"/>
      <c r="E102" s="287"/>
      <c r="F102" s="288"/>
      <c r="G102" s="288"/>
      <c r="H102" s="288"/>
      <c r="I102" s="289"/>
      <c r="J102" s="289"/>
      <c r="K102" s="295"/>
      <c r="L102" s="80"/>
      <c r="M102" s="294"/>
      <c r="N102" s="80"/>
      <c r="O102" s="294"/>
      <c r="P102" s="80"/>
      <c r="Q102" s="294"/>
    </row>
    <row r="103" spans="1:17" s="90" customFormat="1" ht="10.5" customHeight="1">
      <c r="A103" s="80"/>
      <c r="B103" s="294"/>
      <c r="C103" s="294"/>
      <c r="D103" s="294"/>
      <c r="E103" s="287"/>
      <c r="F103" s="288"/>
      <c r="G103" s="288"/>
      <c r="H103" s="288"/>
      <c r="I103" s="289"/>
      <c r="J103" s="289"/>
      <c r="K103" s="295"/>
      <c r="L103" s="80"/>
      <c r="M103" s="294"/>
      <c r="N103" s="80"/>
      <c r="O103" s="294"/>
      <c r="P103" s="80"/>
      <c r="Q103" s="294"/>
    </row>
    <row r="104" spans="1:17" s="90" customFormat="1" ht="13.5" customHeight="1">
      <c r="A104" s="80"/>
      <c r="B104" s="294"/>
      <c r="C104" s="294"/>
      <c r="D104" s="294"/>
      <c r="E104" s="287"/>
      <c r="F104" s="288"/>
      <c r="G104" s="288"/>
      <c r="H104" s="288"/>
      <c r="I104" s="289"/>
      <c r="J104" s="289"/>
      <c r="K104" s="295"/>
      <c r="L104" s="106"/>
      <c r="M104" s="285"/>
      <c r="N104" s="106"/>
      <c r="O104" s="285"/>
      <c r="P104" s="106"/>
      <c r="Q104" s="285"/>
    </row>
    <row r="105" spans="1:17" s="90" customFormat="1" ht="10.5" customHeight="1">
      <c r="A105" s="80"/>
      <c r="B105" s="294"/>
      <c r="C105" s="294"/>
      <c r="D105" s="294"/>
      <c r="E105" s="287"/>
      <c r="F105" s="288"/>
      <c r="G105" s="288"/>
      <c r="H105" s="288"/>
      <c r="I105" s="289"/>
      <c r="J105" s="289"/>
      <c r="K105" s="295"/>
      <c r="L105" s="80"/>
      <c r="M105" s="293"/>
      <c r="N105" s="80"/>
      <c r="O105" s="293"/>
      <c r="P105" s="80"/>
      <c r="Q105" s="293"/>
    </row>
    <row r="106" spans="1:17" s="90" customFormat="1" ht="10.5" customHeight="1">
      <c r="A106" s="80"/>
      <c r="B106" s="293"/>
      <c r="C106" s="294"/>
      <c r="D106" s="294"/>
      <c r="E106" s="287"/>
      <c r="F106" s="288"/>
      <c r="G106" s="288"/>
      <c r="H106" s="288"/>
      <c r="I106" s="289"/>
      <c r="J106" s="289"/>
      <c r="K106" s="295"/>
      <c r="L106" s="80"/>
      <c r="M106" s="293"/>
      <c r="N106" s="80"/>
      <c r="O106" s="293"/>
      <c r="P106" s="80"/>
      <c r="Q106" s="293"/>
    </row>
    <row r="107" spans="1:17" s="90" customFormat="1" ht="10.5" customHeight="1">
      <c r="A107" s="297"/>
      <c r="B107" s="94"/>
      <c r="C107" s="294"/>
      <c r="D107" s="294"/>
      <c r="E107" s="287"/>
      <c r="F107" s="288"/>
      <c r="G107" s="288"/>
      <c r="H107" s="288"/>
      <c r="I107" s="80"/>
      <c r="J107" s="80"/>
      <c r="K107" s="298"/>
      <c r="L107" s="80"/>
      <c r="M107" s="293"/>
      <c r="N107" s="80"/>
      <c r="O107" s="293"/>
      <c r="P107" s="80"/>
      <c r="Q107" s="293"/>
    </row>
    <row r="108" spans="1:17" s="90" customFormat="1" ht="11.25" customHeight="1">
      <c r="A108" s="297"/>
      <c r="B108" s="94"/>
      <c r="C108" s="294"/>
      <c r="D108" s="294"/>
      <c r="E108" s="287"/>
      <c r="F108" s="288"/>
      <c r="G108" s="288"/>
      <c r="H108" s="288"/>
      <c r="I108" s="80"/>
      <c r="J108" s="80"/>
      <c r="K108" s="298"/>
      <c r="L108" s="80"/>
      <c r="M108" s="293"/>
      <c r="N108" s="80"/>
      <c r="O108" s="293"/>
      <c r="P108" s="80"/>
      <c r="Q108" s="293"/>
    </row>
    <row r="109" spans="1:17" s="90" customFormat="1" ht="10.5" customHeight="1">
      <c r="A109" s="297"/>
      <c r="B109" s="94"/>
      <c r="C109" s="294"/>
      <c r="D109" s="294"/>
      <c r="E109" s="287"/>
      <c r="F109" s="288"/>
      <c r="G109" s="288"/>
      <c r="H109" s="288"/>
      <c r="I109" s="299"/>
      <c r="J109" s="299"/>
      <c r="K109" s="285"/>
      <c r="L109" s="80"/>
      <c r="M109" s="293"/>
      <c r="N109" s="80"/>
      <c r="O109" s="293"/>
      <c r="P109" s="80"/>
      <c r="Q109" s="293"/>
    </row>
    <row r="110" spans="1:17" s="90" customFormat="1" ht="10.5" customHeight="1">
      <c r="A110" s="297"/>
      <c r="B110" s="94"/>
      <c r="C110" s="300"/>
      <c r="D110" s="300"/>
      <c r="E110" s="287"/>
      <c r="F110" s="288"/>
      <c r="G110" s="288"/>
      <c r="H110" s="288"/>
      <c r="I110" s="80"/>
      <c r="J110" s="80"/>
      <c r="K110" s="293"/>
      <c r="L110" s="80"/>
      <c r="M110" s="293"/>
      <c r="N110" s="80"/>
      <c r="O110" s="293"/>
      <c r="P110" s="80"/>
      <c r="Q110" s="293"/>
    </row>
    <row r="111" spans="1:17" s="90" customFormat="1" ht="10.5" customHeight="1">
      <c r="A111" s="297"/>
      <c r="B111" s="94"/>
      <c r="C111" s="294"/>
      <c r="D111" s="294"/>
      <c r="E111" s="287"/>
      <c r="F111" s="288"/>
      <c r="G111" s="288"/>
      <c r="H111" s="288"/>
      <c r="I111" s="80"/>
      <c r="J111" s="80"/>
      <c r="K111" s="293"/>
      <c r="L111" s="80"/>
      <c r="M111" s="293"/>
      <c r="N111" s="80"/>
      <c r="O111" s="293"/>
      <c r="P111" s="80"/>
      <c r="Q111" s="293"/>
    </row>
    <row r="112" spans="1:17" s="90" customFormat="1" ht="10.5" customHeight="1">
      <c r="A112" s="297"/>
      <c r="B112" s="94"/>
      <c r="C112" s="294"/>
      <c r="D112" s="294"/>
      <c r="E112" s="287"/>
      <c r="F112" s="288"/>
      <c r="G112" s="288"/>
      <c r="H112" s="288"/>
      <c r="I112" s="80"/>
      <c r="J112" s="80"/>
      <c r="K112" s="293"/>
      <c r="L112" s="80"/>
      <c r="M112" s="293"/>
      <c r="N112" s="80"/>
      <c r="O112" s="293"/>
      <c r="P112" s="80"/>
      <c r="Q112" s="293"/>
    </row>
    <row r="113" spans="1:17" s="90" customFormat="1" ht="10.5" customHeight="1">
      <c r="A113" s="297"/>
      <c r="B113" s="94"/>
      <c r="C113" s="80"/>
      <c r="D113" s="80"/>
      <c r="E113" s="287"/>
      <c r="F113" s="288"/>
      <c r="G113" s="288"/>
      <c r="H113" s="288"/>
      <c r="I113" s="80"/>
      <c r="J113" s="80"/>
      <c r="K113" s="293"/>
      <c r="L113" s="80"/>
      <c r="M113" s="293"/>
      <c r="N113" s="80"/>
      <c r="O113" s="293"/>
      <c r="P113" s="80"/>
      <c r="Q113" s="293"/>
    </row>
    <row r="114" spans="1:17" s="90" customFormat="1" ht="10.5" customHeight="1">
      <c r="A114" s="297"/>
      <c r="B114" s="291"/>
      <c r="C114" s="80"/>
      <c r="D114" s="80"/>
      <c r="E114" s="287"/>
      <c r="F114" s="288"/>
      <c r="G114" s="288"/>
      <c r="H114" s="288"/>
      <c r="I114" s="80"/>
      <c r="J114" s="80"/>
      <c r="K114" s="293"/>
      <c r="L114" s="80"/>
      <c r="M114" s="293"/>
      <c r="N114" s="80"/>
      <c r="O114" s="293"/>
      <c r="P114" s="80"/>
      <c r="Q114" s="293"/>
    </row>
    <row r="115" spans="1:17" s="90" customFormat="1" ht="10.5" customHeight="1">
      <c r="A115" s="297"/>
      <c r="B115" s="291"/>
      <c r="C115" s="80"/>
      <c r="D115" s="80"/>
      <c r="E115" s="287"/>
      <c r="F115" s="288"/>
      <c r="G115" s="288"/>
      <c r="H115" s="288"/>
      <c r="I115" s="80"/>
      <c r="J115" s="80"/>
      <c r="K115" s="293"/>
      <c r="L115" s="80"/>
      <c r="M115" s="293"/>
      <c r="N115" s="80"/>
      <c r="O115" s="293"/>
      <c r="P115" s="80"/>
      <c r="Q115" s="293"/>
    </row>
    <row r="116" spans="1:17" s="90" customFormat="1" ht="10.5" customHeight="1">
      <c r="A116" s="297"/>
      <c r="B116" s="291"/>
      <c r="C116" s="80"/>
      <c r="D116" s="80"/>
      <c r="E116" s="287"/>
      <c r="F116" s="288"/>
      <c r="G116" s="288"/>
      <c r="H116" s="288"/>
      <c r="I116" s="80"/>
      <c r="J116" s="80"/>
      <c r="K116" s="293"/>
      <c r="L116" s="80"/>
      <c r="M116" s="293"/>
      <c r="N116" s="80"/>
      <c r="O116" s="293"/>
      <c r="P116" s="80"/>
      <c r="Q116" s="293"/>
    </row>
    <row r="117" spans="1:16" s="90" customFormat="1" ht="10.5" customHeight="1">
      <c r="A117" s="297"/>
      <c r="B117" s="291"/>
      <c r="C117" s="80"/>
      <c r="D117" s="80"/>
      <c r="E117" s="287"/>
      <c r="F117" s="288"/>
      <c r="G117" s="288"/>
      <c r="H117" s="288"/>
      <c r="I117" s="80"/>
      <c r="J117" s="80"/>
      <c r="K117" s="293"/>
      <c r="L117" s="106"/>
      <c r="N117" s="106"/>
      <c r="P117" s="106"/>
    </row>
    <row r="118" spans="1:17" s="90" customFormat="1" ht="10.5" customHeight="1">
      <c r="A118" s="297"/>
      <c r="B118" s="291"/>
      <c r="C118" s="80"/>
      <c r="D118" s="80"/>
      <c r="E118" s="287"/>
      <c r="F118" s="288"/>
      <c r="G118" s="288"/>
      <c r="H118" s="288"/>
      <c r="I118" s="80"/>
      <c r="J118" s="80"/>
      <c r="K118" s="293"/>
      <c r="L118" s="80"/>
      <c r="M118" s="293"/>
      <c r="N118" s="80"/>
      <c r="O118" s="293"/>
      <c r="P118" s="80"/>
      <c r="Q118" s="293"/>
    </row>
    <row r="119" spans="1:17" s="90" customFormat="1" ht="10.5" customHeight="1">
      <c r="A119" s="297"/>
      <c r="B119" s="291"/>
      <c r="C119" s="80"/>
      <c r="D119" s="80"/>
      <c r="E119" s="287"/>
      <c r="F119" s="288"/>
      <c r="G119" s="288"/>
      <c r="H119" s="288"/>
      <c r="I119" s="80"/>
      <c r="J119" s="80"/>
      <c r="K119" s="293"/>
      <c r="L119" s="80"/>
      <c r="M119" s="293"/>
      <c r="N119" s="80"/>
      <c r="O119" s="293"/>
      <c r="P119" s="80"/>
      <c r="Q119" s="293"/>
    </row>
    <row r="120" spans="1:17" s="90" customFormat="1" ht="12" customHeight="1">
      <c r="A120" s="297"/>
      <c r="B120" s="291"/>
      <c r="C120" s="80"/>
      <c r="D120" s="80"/>
      <c r="E120" s="287"/>
      <c r="F120" s="288"/>
      <c r="G120" s="288"/>
      <c r="H120" s="288"/>
      <c r="I120" s="80"/>
      <c r="J120" s="80"/>
      <c r="K120" s="293"/>
      <c r="L120" s="80"/>
      <c r="M120" s="294"/>
      <c r="N120" s="80"/>
      <c r="O120" s="294"/>
      <c r="P120" s="80"/>
      <c r="Q120" s="294"/>
    </row>
    <row r="121" spans="1:17" s="90" customFormat="1" ht="10.5" customHeight="1">
      <c r="A121" s="52"/>
      <c r="B121" s="291"/>
      <c r="C121" s="80"/>
      <c r="D121" s="80"/>
      <c r="E121" s="287"/>
      <c r="F121" s="288"/>
      <c r="G121" s="288"/>
      <c r="H121" s="288"/>
      <c r="I121" s="80"/>
      <c r="J121" s="80"/>
      <c r="K121" s="293"/>
      <c r="L121" s="80"/>
      <c r="M121" s="293"/>
      <c r="N121" s="80"/>
      <c r="O121" s="293"/>
      <c r="P121" s="80"/>
      <c r="Q121" s="293"/>
    </row>
    <row r="122" spans="1:17" s="90" customFormat="1" ht="12" customHeight="1">
      <c r="A122" s="52"/>
      <c r="B122" s="291"/>
      <c r="C122" s="80"/>
      <c r="D122" s="80"/>
      <c r="E122" s="287"/>
      <c r="F122" s="288"/>
      <c r="G122" s="288"/>
      <c r="H122" s="288"/>
      <c r="I122" s="106"/>
      <c r="J122" s="106"/>
      <c r="L122" s="80"/>
      <c r="M122" s="293"/>
      <c r="N122" s="80"/>
      <c r="O122" s="293"/>
      <c r="P122" s="80"/>
      <c r="Q122" s="293"/>
    </row>
    <row r="123" spans="1:17" s="90" customFormat="1" ht="10.5" customHeight="1">
      <c r="A123" s="52"/>
      <c r="B123" s="94"/>
      <c r="C123" s="77"/>
      <c r="D123" s="77"/>
      <c r="E123" s="287"/>
      <c r="F123" s="288"/>
      <c r="G123" s="288"/>
      <c r="H123" s="288"/>
      <c r="I123" s="80"/>
      <c r="J123" s="80"/>
      <c r="K123" s="293"/>
      <c r="L123" s="80"/>
      <c r="M123" s="293"/>
      <c r="N123" s="80"/>
      <c r="O123" s="293"/>
      <c r="P123" s="80"/>
      <c r="Q123" s="293"/>
    </row>
    <row r="124" spans="1:17" s="90" customFormat="1" ht="10.5" customHeight="1">
      <c r="A124" s="52"/>
      <c r="B124" s="291"/>
      <c r="C124" s="80"/>
      <c r="D124" s="80"/>
      <c r="E124" s="287"/>
      <c r="F124" s="288"/>
      <c r="G124" s="288"/>
      <c r="H124" s="288"/>
      <c r="I124" s="80"/>
      <c r="J124" s="80"/>
      <c r="K124" s="293"/>
      <c r="L124" s="80"/>
      <c r="M124" s="293"/>
      <c r="N124" s="80"/>
      <c r="O124" s="293"/>
      <c r="P124" s="80"/>
      <c r="Q124" s="293"/>
    </row>
    <row r="125" spans="1:17" s="90" customFormat="1" ht="10.5" customHeight="1">
      <c r="A125" s="52"/>
      <c r="B125" s="291"/>
      <c r="C125" s="301"/>
      <c r="D125" s="301"/>
      <c r="E125" s="287"/>
      <c r="F125" s="288"/>
      <c r="G125" s="288"/>
      <c r="H125" s="288"/>
      <c r="I125" s="80"/>
      <c r="J125" s="80"/>
      <c r="K125" s="294"/>
      <c r="L125" s="80"/>
      <c r="M125" s="294"/>
      <c r="N125" s="80"/>
      <c r="O125" s="294"/>
      <c r="P125" s="80"/>
      <c r="Q125" s="294"/>
    </row>
    <row r="126" spans="1:18" s="90" customFormat="1" ht="12" customHeight="1">
      <c r="A126" s="52"/>
      <c r="B126" s="291"/>
      <c r="C126" s="301"/>
      <c r="D126" s="301"/>
      <c r="E126" s="287"/>
      <c r="F126" s="288"/>
      <c r="G126" s="288"/>
      <c r="H126" s="288"/>
      <c r="I126" s="80"/>
      <c r="J126" s="80"/>
      <c r="K126" s="293"/>
      <c r="L126" s="80"/>
      <c r="M126" s="294"/>
      <c r="N126" s="80"/>
      <c r="O126" s="294"/>
      <c r="P126" s="80"/>
      <c r="Q126" s="294"/>
      <c r="R126" s="52"/>
    </row>
    <row r="127" spans="1:18" s="90" customFormat="1" ht="10.5" customHeight="1">
      <c r="A127" s="52"/>
      <c r="B127" s="291"/>
      <c r="C127" s="301"/>
      <c r="D127" s="301"/>
      <c r="E127" s="287"/>
      <c r="F127" s="288"/>
      <c r="G127" s="288"/>
      <c r="H127" s="288"/>
      <c r="I127" s="80"/>
      <c r="J127" s="80"/>
      <c r="K127" s="293"/>
      <c r="L127" s="80"/>
      <c r="M127" s="293"/>
      <c r="N127" s="80"/>
      <c r="O127" s="293"/>
      <c r="P127" s="80"/>
      <c r="Q127" s="293"/>
      <c r="R127" s="52"/>
    </row>
    <row r="128" spans="1:18" s="90" customFormat="1" ht="10.5" customHeight="1">
      <c r="A128" s="52"/>
      <c r="B128" s="94"/>
      <c r="C128" s="301"/>
      <c r="D128" s="301"/>
      <c r="E128" s="287"/>
      <c r="F128" s="288"/>
      <c r="G128" s="288"/>
      <c r="H128" s="288"/>
      <c r="I128" s="80"/>
      <c r="J128" s="80"/>
      <c r="K128" s="293"/>
      <c r="L128" s="80"/>
      <c r="M128" s="293"/>
      <c r="N128" s="80"/>
      <c r="O128" s="293"/>
      <c r="P128" s="80"/>
      <c r="Q128" s="293"/>
      <c r="R128" s="52"/>
    </row>
    <row r="129" spans="1:17" s="90" customFormat="1" ht="10.5" customHeight="1">
      <c r="A129" s="52"/>
      <c r="B129" s="291"/>
      <c r="C129" s="301"/>
      <c r="D129" s="301"/>
      <c r="E129" s="287"/>
      <c r="F129" s="288"/>
      <c r="G129" s="288"/>
      <c r="H129" s="288"/>
      <c r="I129" s="80"/>
      <c r="J129" s="80"/>
      <c r="K129" s="293"/>
      <c r="L129" s="80"/>
      <c r="M129" s="293"/>
      <c r="N129" s="80"/>
      <c r="O129" s="293"/>
      <c r="P129" s="80"/>
      <c r="Q129" s="293"/>
    </row>
    <row r="130" spans="1:17" s="90" customFormat="1" ht="10.5" customHeight="1">
      <c r="A130" s="52"/>
      <c r="B130" s="291"/>
      <c r="C130" s="301"/>
      <c r="D130" s="301"/>
      <c r="E130" s="287"/>
      <c r="F130" s="288"/>
      <c r="G130" s="288"/>
      <c r="H130" s="288"/>
      <c r="I130" s="80"/>
      <c r="J130" s="80"/>
      <c r="K130" s="294"/>
      <c r="L130" s="80"/>
      <c r="M130" s="294"/>
      <c r="N130" s="80"/>
      <c r="O130" s="294"/>
      <c r="P130" s="80"/>
      <c r="Q130" s="294"/>
    </row>
    <row r="131" spans="1:17" s="90" customFormat="1" ht="10.5" customHeight="1">
      <c r="A131" s="52"/>
      <c r="B131" s="291"/>
      <c r="C131" s="301"/>
      <c r="D131" s="301"/>
      <c r="E131" s="287"/>
      <c r="F131" s="288"/>
      <c r="G131" s="288"/>
      <c r="H131" s="288"/>
      <c r="I131" s="80"/>
      <c r="J131" s="80"/>
      <c r="K131" s="294"/>
      <c r="L131" s="80"/>
      <c r="M131" s="293"/>
      <c r="N131" s="80"/>
      <c r="O131" s="293"/>
      <c r="P131" s="80"/>
      <c r="Q131" s="293"/>
    </row>
    <row r="132" spans="1:17" s="90" customFormat="1" ht="12.75" customHeight="1">
      <c r="A132" s="302"/>
      <c r="B132" s="284"/>
      <c r="C132" s="301"/>
      <c r="D132" s="301"/>
      <c r="E132" s="287"/>
      <c r="F132" s="288"/>
      <c r="G132" s="288"/>
      <c r="H132" s="288"/>
      <c r="I132" s="80"/>
      <c r="J132" s="80"/>
      <c r="K132" s="293"/>
      <c r="L132" s="78"/>
      <c r="M132" s="303"/>
      <c r="N132" s="78"/>
      <c r="O132" s="303"/>
      <c r="P132" s="78"/>
      <c r="Q132" s="303"/>
    </row>
    <row r="133" spans="1:17" s="90" customFormat="1" ht="10.5" customHeight="1">
      <c r="A133" s="80"/>
      <c r="B133" s="294"/>
      <c r="C133" s="301"/>
      <c r="D133" s="301"/>
      <c r="E133" s="287"/>
      <c r="F133" s="288"/>
      <c r="G133" s="288"/>
      <c r="H133" s="288"/>
      <c r="I133" s="80"/>
      <c r="J133" s="80"/>
      <c r="K133" s="293"/>
      <c r="L133" s="52"/>
      <c r="M133" s="94"/>
      <c r="N133" s="52"/>
      <c r="O133" s="94"/>
      <c r="P133" s="52"/>
      <c r="Q133" s="94"/>
    </row>
    <row r="134" spans="1:17" s="90" customFormat="1" ht="10.5" customHeight="1">
      <c r="A134" s="80"/>
      <c r="B134" s="298"/>
      <c r="C134" s="301"/>
      <c r="D134" s="301"/>
      <c r="E134" s="287"/>
      <c r="F134" s="288"/>
      <c r="G134" s="288"/>
      <c r="H134" s="288"/>
      <c r="I134" s="80"/>
      <c r="J134" s="80"/>
      <c r="K134" s="293"/>
      <c r="L134" s="52"/>
      <c r="M134" s="94"/>
      <c r="N134" s="52"/>
      <c r="O134" s="94"/>
      <c r="P134" s="52"/>
      <c r="Q134" s="94"/>
    </row>
    <row r="135" spans="1:17" s="90" customFormat="1" ht="10.5" customHeight="1">
      <c r="A135" s="80"/>
      <c r="B135" s="298"/>
      <c r="C135" s="301"/>
      <c r="D135" s="301"/>
      <c r="E135" s="287"/>
      <c r="F135" s="288"/>
      <c r="G135" s="288"/>
      <c r="H135" s="288"/>
      <c r="I135" s="80"/>
      <c r="J135" s="80"/>
      <c r="K135" s="294"/>
      <c r="L135" s="52"/>
      <c r="M135" s="94"/>
      <c r="N135" s="52"/>
      <c r="O135" s="94"/>
      <c r="P135" s="52"/>
      <c r="Q135" s="94"/>
    </row>
    <row r="136" spans="1:17" s="90" customFormat="1" ht="10.5" customHeight="1">
      <c r="A136" s="80"/>
      <c r="B136" s="298"/>
      <c r="C136" s="301"/>
      <c r="D136" s="301"/>
      <c r="E136" s="287"/>
      <c r="F136" s="288"/>
      <c r="G136" s="288"/>
      <c r="H136" s="288"/>
      <c r="I136" s="80"/>
      <c r="J136" s="80"/>
      <c r="K136" s="293"/>
      <c r="L136" s="52"/>
      <c r="M136" s="94"/>
      <c r="N136" s="52"/>
      <c r="O136" s="94"/>
      <c r="P136" s="52"/>
      <c r="Q136" s="94"/>
    </row>
    <row r="137" spans="1:17" s="90" customFormat="1" ht="10.5" customHeight="1">
      <c r="A137" s="80"/>
      <c r="B137" s="298"/>
      <c r="C137" s="301"/>
      <c r="D137" s="301"/>
      <c r="E137" s="287"/>
      <c r="F137" s="288"/>
      <c r="G137" s="288"/>
      <c r="H137" s="288"/>
      <c r="I137" s="78"/>
      <c r="J137" s="78"/>
      <c r="K137" s="303"/>
      <c r="L137" s="52"/>
      <c r="M137" s="94"/>
      <c r="N137" s="52"/>
      <c r="O137" s="94"/>
      <c r="P137" s="52"/>
      <c r="Q137" s="94"/>
    </row>
    <row r="138" spans="1:17" s="90" customFormat="1" ht="10.5" customHeight="1">
      <c r="A138" s="80"/>
      <c r="B138" s="293"/>
      <c r="C138" s="301"/>
      <c r="D138" s="301"/>
      <c r="E138" s="287"/>
      <c r="F138" s="288"/>
      <c r="G138" s="288"/>
      <c r="H138" s="288"/>
      <c r="I138" s="52"/>
      <c r="J138" s="52"/>
      <c r="K138" s="94"/>
      <c r="L138" s="52"/>
      <c r="M138" s="94"/>
      <c r="N138" s="52"/>
      <c r="O138" s="94"/>
      <c r="P138" s="52"/>
      <c r="Q138" s="94"/>
    </row>
    <row r="139" spans="3:16" s="90" customFormat="1" ht="15" customHeight="1">
      <c r="C139" s="52"/>
      <c r="D139" s="52"/>
      <c r="E139" s="52"/>
      <c r="F139" s="52"/>
      <c r="G139" s="52"/>
      <c r="H139" s="52"/>
      <c r="I139" s="52"/>
      <c r="J139" s="52"/>
      <c r="K139" s="94"/>
      <c r="L139" s="52"/>
      <c r="M139" s="52"/>
      <c r="N139" s="52"/>
      <c r="O139" s="52"/>
      <c r="P139" s="52"/>
    </row>
    <row r="140" spans="1:16" s="90" customFormat="1" ht="10.5" customHeight="1">
      <c r="A140" s="304"/>
      <c r="B140" s="304"/>
      <c r="C140" s="304"/>
      <c r="D140" s="304"/>
      <c r="E140" s="304"/>
      <c r="F140" s="304"/>
      <c r="G140" s="304"/>
      <c r="H140" s="304"/>
      <c r="I140" s="52"/>
      <c r="J140" s="52"/>
      <c r="K140" s="94"/>
      <c r="L140" s="304"/>
      <c r="M140" s="304"/>
      <c r="N140" s="304"/>
      <c r="O140" s="52"/>
      <c r="P140" s="52"/>
    </row>
    <row r="141" spans="1:16" s="90" customFormat="1" ht="10.5" customHeight="1">
      <c r="A141" s="304"/>
      <c r="B141" s="304"/>
      <c r="C141" s="304"/>
      <c r="D141" s="304"/>
      <c r="E141" s="304"/>
      <c r="F141" s="304"/>
      <c r="G141" s="304"/>
      <c r="H141" s="304"/>
      <c r="I141" s="52"/>
      <c r="J141" s="52"/>
      <c r="K141" s="94"/>
      <c r="L141" s="304"/>
      <c r="M141" s="304"/>
      <c r="N141" s="304"/>
      <c r="O141" s="52"/>
      <c r="P141" s="52"/>
    </row>
    <row r="142" spans="1:16" s="90" customFormat="1" ht="10.5" customHeight="1">
      <c r="A142" s="115"/>
      <c r="B142" s="115"/>
      <c r="C142" s="115"/>
      <c r="D142" s="115"/>
      <c r="E142" s="115"/>
      <c r="F142" s="115"/>
      <c r="G142" s="115"/>
      <c r="H142" s="115"/>
      <c r="I142" s="52"/>
      <c r="J142" s="52"/>
      <c r="K142" s="94"/>
      <c r="L142" s="115"/>
      <c r="M142" s="115"/>
      <c r="N142" s="115"/>
      <c r="O142" s="52"/>
      <c r="P142" s="52"/>
    </row>
    <row r="143" spans="1:16" s="90" customFormat="1" ht="12" customHeight="1">
      <c r="A143" s="115"/>
      <c r="B143" s="115"/>
      <c r="C143" s="115"/>
      <c r="D143" s="115"/>
      <c r="E143" s="115"/>
      <c r="F143" s="115"/>
      <c r="G143" s="115"/>
      <c r="H143" s="115"/>
      <c r="I143" s="52"/>
      <c r="J143" s="52"/>
      <c r="K143" s="94"/>
      <c r="L143" s="115"/>
      <c r="M143" s="115"/>
      <c r="N143" s="115"/>
      <c r="O143" s="52"/>
      <c r="P143" s="52"/>
    </row>
    <row r="144" spans="1:16" s="90" customFormat="1" ht="12" customHeight="1">
      <c r="A144" s="68"/>
      <c r="B144" s="68"/>
      <c r="C144" s="68"/>
      <c r="D144" s="68"/>
      <c r="E144" s="68"/>
      <c r="F144" s="74"/>
      <c r="G144" s="68"/>
      <c r="H144" s="68"/>
      <c r="I144" s="52"/>
      <c r="J144" s="52"/>
      <c r="K144" s="101"/>
      <c r="L144" s="74"/>
      <c r="M144" s="68"/>
      <c r="N144" s="74"/>
      <c r="O144" s="52"/>
      <c r="P144" s="52"/>
    </row>
    <row r="145" spans="1:16" s="90" customFormat="1" ht="12" customHeight="1">
      <c r="A145" s="80"/>
      <c r="B145" s="77"/>
      <c r="C145" s="305"/>
      <c r="D145" s="305"/>
      <c r="E145" s="289"/>
      <c r="F145" s="306"/>
      <c r="G145" s="307"/>
      <c r="H145" s="307"/>
      <c r="I145" s="304"/>
      <c r="J145" s="304"/>
      <c r="K145" s="304"/>
      <c r="L145" s="308"/>
      <c r="M145" s="309"/>
      <c r="N145" s="308"/>
      <c r="O145" s="52"/>
      <c r="P145" s="52"/>
    </row>
    <row r="146" spans="1:16" s="90" customFormat="1" ht="12" customHeight="1">
      <c r="A146" s="80"/>
      <c r="B146" s="77"/>
      <c r="C146" s="305"/>
      <c r="D146" s="305"/>
      <c r="E146" s="289"/>
      <c r="F146" s="306"/>
      <c r="G146" s="307"/>
      <c r="H146" s="307"/>
      <c r="I146" s="304"/>
      <c r="J146" s="304"/>
      <c r="K146" s="304"/>
      <c r="L146" s="308"/>
      <c r="M146" s="310"/>
      <c r="N146" s="308"/>
      <c r="O146" s="52"/>
      <c r="P146" s="52"/>
    </row>
    <row r="147" spans="1:16" s="90" customFormat="1" ht="12" customHeight="1">
      <c r="A147" s="80"/>
      <c r="B147" s="77"/>
      <c r="C147" s="305"/>
      <c r="D147" s="305"/>
      <c r="E147" s="289"/>
      <c r="F147" s="306"/>
      <c r="G147" s="307"/>
      <c r="H147" s="307"/>
      <c r="I147" s="115"/>
      <c r="J147" s="115"/>
      <c r="K147" s="115"/>
      <c r="L147" s="308"/>
      <c r="M147" s="309"/>
      <c r="N147" s="308"/>
      <c r="O147" s="52"/>
      <c r="P147" s="52"/>
    </row>
    <row r="148" spans="1:16" s="90" customFormat="1" ht="12" customHeight="1">
      <c r="A148" s="80"/>
      <c r="B148" s="77"/>
      <c r="C148" s="305"/>
      <c r="D148" s="305"/>
      <c r="E148" s="289"/>
      <c r="F148" s="306"/>
      <c r="G148" s="307"/>
      <c r="H148" s="307"/>
      <c r="I148" s="115"/>
      <c r="J148" s="115"/>
      <c r="K148" s="115"/>
      <c r="L148" s="308"/>
      <c r="M148" s="309"/>
      <c r="N148" s="308"/>
      <c r="O148" s="52"/>
      <c r="P148" s="52"/>
    </row>
    <row r="149" spans="1:16" s="90" customFormat="1" ht="12" customHeight="1">
      <c r="A149" s="80"/>
      <c r="B149" s="77"/>
      <c r="C149" s="305"/>
      <c r="D149" s="305"/>
      <c r="E149" s="289"/>
      <c r="F149" s="306"/>
      <c r="G149" s="307"/>
      <c r="H149" s="307"/>
      <c r="I149" s="68"/>
      <c r="J149" s="68"/>
      <c r="K149" s="74"/>
      <c r="L149" s="308"/>
      <c r="M149" s="309"/>
      <c r="N149" s="308"/>
      <c r="O149" s="52"/>
      <c r="P149" s="52"/>
    </row>
    <row r="150" spans="1:16" s="90" customFormat="1" ht="12" customHeight="1">
      <c r="A150" s="80"/>
      <c r="B150" s="77"/>
      <c r="C150" s="305"/>
      <c r="D150" s="305"/>
      <c r="E150" s="289"/>
      <c r="F150" s="306"/>
      <c r="G150" s="307"/>
      <c r="H150" s="307"/>
      <c r="I150" s="311"/>
      <c r="J150" s="76"/>
      <c r="K150" s="308"/>
      <c r="L150" s="308"/>
      <c r="M150" s="310"/>
      <c r="N150" s="308"/>
      <c r="O150" s="52"/>
      <c r="P150" s="52"/>
    </row>
    <row r="151" spans="1:16" s="90" customFormat="1" ht="12" customHeight="1">
      <c r="A151" s="80"/>
      <c r="B151" s="77"/>
      <c r="C151" s="305"/>
      <c r="D151" s="305"/>
      <c r="E151" s="289"/>
      <c r="F151" s="306"/>
      <c r="G151" s="307"/>
      <c r="H151" s="307"/>
      <c r="I151" s="311"/>
      <c r="J151" s="312"/>
      <c r="K151" s="308"/>
      <c r="L151" s="308"/>
      <c r="M151" s="309"/>
      <c r="N151" s="308"/>
      <c r="O151" s="52"/>
      <c r="P151" s="52"/>
    </row>
    <row r="152" spans="1:16" s="90" customFormat="1" ht="12" customHeight="1">
      <c r="A152" s="80"/>
      <c r="B152" s="77"/>
      <c r="C152" s="305"/>
      <c r="D152" s="305"/>
      <c r="E152" s="289"/>
      <c r="F152" s="306"/>
      <c r="G152" s="307"/>
      <c r="H152" s="307"/>
      <c r="I152" s="289"/>
      <c r="J152" s="76"/>
      <c r="K152" s="308"/>
      <c r="L152" s="308"/>
      <c r="M152" s="309"/>
      <c r="N152" s="308"/>
      <c r="O152" s="52"/>
      <c r="P152" s="52"/>
    </row>
    <row r="153" spans="1:16" s="90" customFormat="1" ht="12" customHeight="1">
      <c r="A153" s="80"/>
      <c r="B153" s="77"/>
      <c r="C153" s="305"/>
      <c r="D153" s="305"/>
      <c r="E153" s="289"/>
      <c r="F153" s="306"/>
      <c r="G153" s="307"/>
      <c r="H153" s="307"/>
      <c r="I153" s="289"/>
      <c r="J153" s="76"/>
      <c r="K153" s="308"/>
      <c r="L153" s="308"/>
      <c r="M153" s="309"/>
      <c r="N153" s="308"/>
      <c r="O153" s="52"/>
      <c r="P153" s="52"/>
    </row>
    <row r="154" spans="1:16" s="90" customFormat="1" ht="12" customHeight="1">
      <c r="A154" s="80"/>
      <c r="B154" s="77"/>
      <c r="C154" s="305"/>
      <c r="D154" s="305"/>
      <c r="E154" s="289"/>
      <c r="F154" s="306"/>
      <c r="G154" s="307"/>
      <c r="H154" s="307"/>
      <c r="I154" s="289"/>
      <c r="J154" s="76"/>
      <c r="K154" s="308"/>
      <c r="L154" s="308"/>
      <c r="M154" s="309"/>
      <c r="N154" s="308"/>
      <c r="O154" s="52"/>
      <c r="P154" s="52"/>
    </row>
    <row r="155" spans="1:16" s="90" customFormat="1" ht="12" customHeight="1">
      <c r="A155" s="80"/>
      <c r="B155" s="77"/>
      <c r="C155" s="305"/>
      <c r="D155" s="305"/>
      <c r="E155" s="289"/>
      <c r="F155" s="306"/>
      <c r="G155" s="307"/>
      <c r="H155" s="307"/>
      <c r="I155" s="311"/>
      <c r="J155" s="312"/>
      <c r="K155" s="308"/>
      <c r="L155" s="308"/>
      <c r="M155" s="309"/>
      <c r="N155" s="308"/>
      <c r="O155" s="52"/>
      <c r="P155" s="52"/>
    </row>
    <row r="156" spans="1:16" s="90" customFormat="1" ht="12" customHeight="1">
      <c r="A156" s="80"/>
      <c r="B156" s="77"/>
      <c r="C156" s="305"/>
      <c r="D156" s="305"/>
      <c r="E156" s="289"/>
      <c r="F156" s="306"/>
      <c r="G156" s="307"/>
      <c r="H156" s="307"/>
      <c r="I156" s="289"/>
      <c r="J156" s="76"/>
      <c r="K156" s="308"/>
      <c r="L156" s="308"/>
      <c r="M156" s="309"/>
      <c r="N156" s="308"/>
      <c r="O156" s="52"/>
      <c r="P156" s="52"/>
    </row>
    <row r="157" spans="1:16" s="90" customFormat="1" ht="12" customHeight="1">
      <c r="A157" s="80"/>
      <c r="B157" s="77"/>
      <c r="C157" s="305"/>
      <c r="D157" s="305"/>
      <c r="E157" s="289"/>
      <c r="F157" s="306"/>
      <c r="G157" s="307"/>
      <c r="H157" s="307"/>
      <c r="I157" s="289"/>
      <c r="J157" s="76"/>
      <c r="K157" s="308"/>
      <c r="L157" s="308"/>
      <c r="M157" s="309"/>
      <c r="N157" s="308"/>
      <c r="O157" s="52"/>
      <c r="P157" s="52"/>
    </row>
    <row r="158" spans="1:16" s="90" customFormat="1" ht="12" customHeight="1">
      <c r="A158" s="80"/>
      <c r="B158" s="77"/>
      <c r="C158" s="305"/>
      <c r="D158" s="305"/>
      <c r="E158" s="289"/>
      <c r="F158" s="306"/>
      <c r="G158" s="307"/>
      <c r="H158" s="307"/>
      <c r="I158" s="289"/>
      <c r="J158" s="76"/>
      <c r="K158" s="308"/>
      <c r="L158" s="308"/>
      <c r="M158" s="309"/>
      <c r="N158" s="308"/>
      <c r="O158" s="52"/>
      <c r="P158" s="52"/>
    </row>
    <row r="159" spans="1:16" s="90" customFormat="1" ht="12" customHeight="1">
      <c r="A159" s="80"/>
      <c r="B159" s="77"/>
      <c r="C159" s="305"/>
      <c r="D159" s="305"/>
      <c r="E159" s="289"/>
      <c r="F159" s="306"/>
      <c r="G159" s="307"/>
      <c r="H159" s="307"/>
      <c r="I159" s="289"/>
      <c r="J159" s="76"/>
      <c r="K159" s="308"/>
      <c r="L159" s="313"/>
      <c r="M159" s="309"/>
      <c r="N159" s="313"/>
      <c r="O159" s="52"/>
      <c r="P159" s="52"/>
    </row>
    <row r="160" spans="1:16" s="90" customFormat="1" ht="12" customHeight="1">
      <c r="A160" s="80"/>
      <c r="B160" s="77"/>
      <c r="C160" s="305"/>
      <c r="D160" s="305"/>
      <c r="E160" s="289"/>
      <c r="F160" s="306"/>
      <c r="G160" s="308"/>
      <c r="H160" s="308"/>
      <c r="I160" s="289"/>
      <c r="J160" s="76"/>
      <c r="K160" s="308"/>
      <c r="L160" s="313"/>
      <c r="M160" s="309"/>
      <c r="N160" s="313"/>
      <c r="O160" s="52"/>
      <c r="P160" s="52"/>
    </row>
    <row r="161" spans="1:16" s="90" customFormat="1" ht="12" customHeight="1">
      <c r="A161" s="80"/>
      <c r="B161" s="77"/>
      <c r="C161" s="305"/>
      <c r="D161" s="305"/>
      <c r="E161" s="289"/>
      <c r="F161" s="306"/>
      <c r="G161" s="308"/>
      <c r="H161" s="308"/>
      <c r="I161" s="289"/>
      <c r="J161" s="76"/>
      <c r="K161" s="308"/>
      <c r="L161" s="313"/>
      <c r="M161" s="309"/>
      <c r="N161" s="313"/>
      <c r="O161" s="52"/>
      <c r="P161" s="52"/>
    </row>
    <row r="162" spans="1:16" s="90" customFormat="1" ht="12" customHeight="1">
      <c r="A162" s="2297"/>
      <c r="B162" s="2297"/>
      <c r="C162" s="2297"/>
      <c r="D162" s="300"/>
      <c r="E162" s="2296"/>
      <c r="F162" s="2296"/>
      <c r="G162" s="2296"/>
      <c r="H162" s="314"/>
      <c r="I162" s="289"/>
      <c r="J162" s="76"/>
      <c r="K162" s="308"/>
      <c r="L162" s="315"/>
      <c r="M162" s="315"/>
      <c r="N162" s="315"/>
      <c r="O162" s="52"/>
      <c r="P162" s="52"/>
    </row>
    <row r="163" spans="1:16" s="90" customFormat="1" ht="12" customHeight="1">
      <c r="A163" s="73"/>
      <c r="B163" s="68"/>
      <c r="C163" s="73"/>
      <c r="D163" s="73"/>
      <c r="E163" s="316"/>
      <c r="F163" s="196"/>
      <c r="G163" s="197"/>
      <c r="H163" s="197"/>
      <c r="I163" s="289"/>
      <c r="J163" s="76"/>
      <c r="K163" s="308"/>
      <c r="L163" s="315"/>
      <c r="M163" s="315"/>
      <c r="N163" s="315"/>
      <c r="O163" s="52"/>
      <c r="P163" s="52"/>
    </row>
    <row r="164" spans="1:16" s="90" customFormat="1" ht="12" customHeight="1">
      <c r="A164" s="317"/>
      <c r="B164" s="77"/>
      <c r="C164" s="318"/>
      <c r="D164" s="318"/>
      <c r="E164" s="316"/>
      <c r="F164" s="196"/>
      <c r="G164" s="197"/>
      <c r="H164" s="197"/>
      <c r="I164" s="289"/>
      <c r="J164" s="76"/>
      <c r="K164" s="313"/>
      <c r="L164" s="196"/>
      <c r="M164" s="80"/>
      <c r="N164" s="197"/>
      <c r="O164" s="52"/>
      <c r="P164" s="52"/>
    </row>
    <row r="165" spans="1:16" s="90" customFormat="1" ht="12" customHeight="1">
      <c r="A165" s="317"/>
      <c r="B165" s="77"/>
      <c r="C165" s="318"/>
      <c r="D165" s="318"/>
      <c r="E165" s="316"/>
      <c r="F165" s="196"/>
      <c r="G165" s="197"/>
      <c r="H165" s="197"/>
      <c r="I165" s="289"/>
      <c r="J165" s="76"/>
      <c r="K165" s="313"/>
      <c r="L165" s="196"/>
      <c r="M165" s="80"/>
      <c r="N165" s="197"/>
      <c r="O165" s="52"/>
      <c r="P165" s="52"/>
    </row>
    <row r="166" spans="1:16" s="90" customFormat="1" ht="12" customHeight="1">
      <c r="A166" s="317"/>
      <c r="B166" s="77"/>
      <c r="C166" s="318"/>
      <c r="D166" s="318"/>
      <c r="E166" s="316"/>
      <c r="F166" s="196"/>
      <c r="G166" s="197"/>
      <c r="H166" s="197"/>
      <c r="I166" s="289"/>
      <c r="J166" s="76"/>
      <c r="K166" s="313"/>
      <c r="L166" s="196"/>
      <c r="M166" s="80"/>
      <c r="N166" s="197"/>
      <c r="O166" s="52"/>
      <c r="P166" s="52"/>
    </row>
    <row r="167" spans="1:16" s="90" customFormat="1" ht="12" customHeight="1">
      <c r="A167" s="317"/>
      <c r="B167" s="77"/>
      <c r="C167" s="318"/>
      <c r="D167" s="318"/>
      <c r="E167" s="316"/>
      <c r="F167" s="196"/>
      <c r="G167" s="197"/>
      <c r="H167" s="197"/>
      <c r="I167" s="2297"/>
      <c r="J167" s="2297"/>
      <c r="K167" s="2297"/>
      <c r="L167" s="196"/>
      <c r="M167" s="80"/>
      <c r="N167" s="197"/>
      <c r="O167" s="52"/>
      <c r="P167" s="52"/>
    </row>
    <row r="168" spans="1:16" s="90" customFormat="1" ht="12" customHeight="1">
      <c r="A168" s="317"/>
      <c r="B168" s="77"/>
      <c r="C168" s="318"/>
      <c r="D168" s="318"/>
      <c r="E168" s="316"/>
      <c r="F168" s="196"/>
      <c r="G168" s="197"/>
      <c r="H168" s="197"/>
      <c r="I168" s="68"/>
      <c r="J168" s="68"/>
      <c r="K168" s="74"/>
      <c r="L168" s="196"/>
      <c r="M168" s="80"/>
      <c r="N168" s="197"/>
      <c r="O168" s="52"/>
      <c r="P168" s="52"/>
    </row>
    <row r="169" spans="1:16" s="90" customFormat="1" ht="12" customHeight="1">
      <c r="A169" s="317"/>
      <c r="B169" s="77"/>
      <c r="C169" s="318"/>
      <c r="D169" s="318"/>
      <c r="E169" s="316"/>
      <c r="F169" s="196"/>
      <c r="G169" s="197"/>
      <c r="H169" s="197"/>
      <c r="I169" s="317"/>
      <c r="J169" s="319"/>
      <c r="K169" s="305"/>
      <c r="L169" s="196"/>
      <c r="M169" s="80"/>
      <c r="N169" s="197"/>
      <c r="O169" s="52"/>
      <c r="P169" s="52"/>
    </row>
    <row r="170" spans="1:16" s="90" customFormat="1" ht="12" customHeight="1">
      <c r="A170" s="317"/>
      <c r="B170" s="77"/>
      <c r="C170" s="318"/>
      <c r="D170" s="318"/>
      <c r="E170" s="316"/>
      <c r="F170" s="196"/>
      <c r="G170" s="197"/>
      <c r="H170" s="197"/>
      <c r="I170" s="317"/>
      <c r="J170" s="319"/>
      <c r="K170" s="305"/>
      <c r="L170" s="196"/>
      <c r="M170" s="80"/>
      <c r="N170" s="197"/>
      <c r="O170" s="52"/>
      <c r="P170" s="52"/>
    </row>
    <row r="171" spans="1:16" s="90" customFormat="1" ht="12" customHeight="1">
      <c r="A171" s="317"/>
      <c r="B171" s="77"/>
      <c r="C171" s="318"/>
      <c r="D171" s="318"/>
      <c r="E171" s="316"/>
      <c r="F171" s="196"/>
      <c r="G171" s="197"/>
      <c r="H171" s="197"/>
      <c r="I171" s="317"/>
      <c r="J171" s="319"/>
      <c r="K171" s="305"/>
      <c r="L171" s="196"/>
      <c r="M171" s="80"/>
      <c r="N171" s="197"/>
      <c r="O171" s="52"/>
      <c r="P171" s="52"/>
    </row>
    <row r="172" spans="1:16" s="90" customFormat="1" ht="12" customHeight="1">
      <c r="A172" s="317"/>
      <c r="B172" s="77"/>
      <c r="C172" s="318"/>
      <c r="D172" s="318"/>
      <c r="E172" s="316"/>
      <c r="F172" s="196"/>
      <c r="G172" s="197"/>
      <c r="H172" s="197"/>
      <c r="I172" s="317"/>
      <c r="J172" s="319"/>
      <c r="K172" s="305"/>
      <c r="L172" s="196"/>
      <c r="M172" s="80"/>
      <c r="N172" s="197"/>
      <c r="O172" s="52"/>
      <c r="P172" s="52"/>
    </row>
    <row r="173" spans="1:16" s="90" customFormat="1" ht="12" customHeight="1">
      <c r="A173" s="317"/>
      <c r="B173" s="77"/>
      <c r="C173" s="318"/>
      <c r="D173" s="318"/>
      <c r="E173" s="316"/>
      <c r="F173" s="196"/>
      <c r="G173" s="197"/>
      <c r="H173" s="197"/>
      <c r="I173" s="317"/>
      <c r="J173" s="319"/>
      <c r="K173" s="305"/>
      <c r="L173" s="196"/>
      <c r="M173" s="80"/>
      <c r="N173" s="197"/>
      <c r="O173" s="52"/>
      <c r="P173" s="52"/>
    </row>
    <row r="174" spans="1:16" s="90" customFormat="1" ht="12" customHeight="1">
      <c r="A174" s="317"/>
      <c r="B174" s="77"/>
      <c r="C174" s="318"/>
      <c r="D174" s="318"/>
      <c r="E174" s="316"/>
      <c r="F174" s="196"/>
      <c r="G174" s="197"/>
      <c r="H174" s="197"/>
      <c r="I174" s="317"/>
      <c r="J174" s="319"/>
      <c r="K174" s="305"/>
      <c r="L174" s="196"/>
      <c r="M174" s="80"/>
      <c r="N174" s="197"/>
      <c r="O174" s="52"/>
      <c r="P174" s="52"/>
    </row>
    <row r="175" spans="1:16" s="90" customFormat="1" ht="12" customHeight="1">
      <c r="A175" s="317"/>
      <c r="B175" s="77"/>
      <c r="C175" s="318"/>
      <c r="D175" s="318"/>
      <c r="E175" s="316"/>
      <c r="F175" s="196"/>
      <c r="G175" s="197"/>
      <c r="H175" s="197"/>
      <c r="I175" s="317"/>
      <c r="J175" s="319"/>
      <c r="K175" s="305"/>
      <c r="L175" s="196"/>
      <c r="M175" s="80"/>
      <c r="N175" s="197"/>
      <c r="O175" s="52"/>
      <c r="P175" s="52"/>
    </row>
    <row r="176" spans="1:16" s="90" customFormat="1" ht="12" customHeight="1">
      <c r="A176" s="317"/>
      <c r="B176" s="77"/>
      <c r="C176" s="320"/>
      <c r="D176" s="320"/>
      <c r="E176" s="316"/>
      <c r="F176" s="196"/>
      <c r="G176" s="197"/>
      <c r="H176" s="197"/>
      <c r="I176" s="317"/>
      <c r="J176" s="319"/>
      <c r="K176" s="305"/>
      <c r="L176" s="196"/>
      <c r="M176" s="80"/>
      <c r="N176" s="197"/>
      <c r="O176" s="52"/>
      <c r="P176" s="52"/>
    </row>
    <row r="177" spans="1:16" s="90" customFormat="1" ht="15.75" customHeight="1">
      <c r="A177" s="284"/>
      <c r="B177" s="284"/>
      <c r="C177" s="284"/>
      <c r="D177" s="284"/>
      <c r="E177" s="284"/>
      <c r="F177" s="284"/>
      <c r="G177" s="284"/>
      <c r="H177" s="284"/>
      <c r="I177" s="317"/>
      <c r="J177" s="319"/>
      <c r="K177" s="305"/>
      <c r="L177" s="196"/>
      <c r="M177" s="80"/>
      <c r="N177" s="197"/>
      <c r="O177" s="52"/>
      <c r="P177" s="52"/>
    </row>
    <row r="178" spans="1:16" s="90" customFormat="1" ht="12" customHeight="1">
      <c r="A178" s="317"/>
      <c r="B178" s="319"/>
      <c r="C178" s="321"/>
      <c r="D178" s="321"/>
      <c r="E178" s="317"/>
      <c r="F178" s="322"/>
      <c r="G178" s="321"/>
      <c r="H178" s="321"/>
      <c r="I178" s="317"/>
      <c r="J178" s="319"/>
      <c r="K178" s="305"/>
      <c r="L178" s="196"/>
      <c r="M178" s="80"/>
      <c r="N178" s="197"/>
      <c r="O178" s="52"/>
      <c r="P178" s="52"/>
    </row>
    <row r="179" spans="1:16" s="90" customFormat="1" ht="12" customHeight="1">
      <c r="A179" s="317"/>
      <c r="B179" s="319"/>
      <c r="C179" s="321"/>
      <c r="D179" s="321"/>
      <c r="E179" s="317"/>
      <c r="F179" s="322"/>
      <c r="G179" s="321"/>
      <c r="H179" s="321"/>
      <c r="I179" s="317"/>
      <c r="J179" s="319"/>
      <c r="K179" s="305"/>
      <c r="L179" s="196"/>
      <c r="M179" s="80"/>
      <c r="N179" s="197"/>
      <c r="O179" s="52"/>
      <c r="P179" s="52"/>
    </row>
    <row r="180" spans="1:16" s="90" customFormat="1" ht="12" customHeight="1">
      <c r="A180" s="317"/>
      <c r="B180" s="319"/>
      <c r="C180" s="321"/>
      <c r="D180" s="321"/>
      <c r="E180" s="317"/>
      <c r="F180" s="322"/>
      <c r="G180" s="321"/>
      <c r="H180" s="321"/>
      <c r="I180" s="317"/>
      <c r="J180" s="319"/>
      <c r="K180" s="305"/>
      <c r="L180" s="196"/>
      <c r="M180" s="80"/>
      <c r="N180" s="197"/>
      <c r="O180" s="52"/>
      <c r="P180" s="52"/>
    </row>
    <row r="181" spans="1:16" s="90" customFormat="1" ht="12" customHeight="1">
      <c r="A181" s="317"/>
      <c r="B181" s="319"/>
      <c r="C181" s="321"/>
      <c r="D181" s="321"/>
      <c r="E181" s="317"/>
      <c r="F181" s="322"/>
      <c r="G181" s="321"/>
      <c r="H181" s="321"/>
      <c r="I181" s="317"/>
      <c r="J181" s="319"/>
      <c r="K181" s="305"/>
      <c r="L181" s="196"/>
      <c r="M181" s="80"/>
      <c r="N181" s="197"/>
      <c r="O181" s="52"/>
      <c r="P181" s="52"/>
    </row>
    <row r="182" spans="1:16" s="90" customFormat="1" ht="12" customHeight="1">
      <c r="A182" s="317"/>
      <c r="B182" s="319"/>
      <c r="C182" s="321"/>
      <c r="D182" s="321"/>
      <c r="E182" s="316"/>
      <c r="F182" s="196"/>
      <c r="G182" s="197"/>
      <c r="H182" s="197"/>
      <c r="I182" s="284"/>
      <c r="J182" s="284"/>
      <c r="K182" s="284"/>
      <c r="L182" s="196"/>
      <c r="M182" s="80"/>
      <c r="N182" s="197"/>
      <c r="O182" s="52"/>
      <c r="P182" s="52"/>
    </row>
    <row r="183" spans="1:16" s="90" customFormat="1" ht="28.5" customHeight="1">
      <c r="A183" s="284"/>
      <c r="B183" s="284"/>
      <c r="C183" s="284"/>
      <c r="D183" s="284"/>
      <c r="E183" s="284"/>
      <c r="F183" s="284"/>
      <c r="G183" s="284"/>
      <c r="H183" s="284"/>
      <c r="I183" s="323"/>
      <c r="J183" s="319"/>
      <c r="K183" s="321"/>
      <c r="L183" s="196"/>
      <c r="M183" s="80"/>
      <c r="N183" s="197"/>
      <c r="O183" s="52"/>
      <c r="P183" s="52"/>
    </row>
    <row r="184" spans="1:16" s="90" customFormat="1" ht="10.5" customHeight="1">
      <c r="A184" s="106"/>
      <c r="E184" s="316"/>
      <c r="F184" s="196"/>
      <c r="G184" s="197"/>
      <c r="H184" s="197"/>
      <c r="I184" s="323"/>
      <c r="J184" s="319"/>
      <c r="K184" s="321"/>
      <c r="L184" s="196"/>
      <c r="M184" s="80"/>
      <c r="N184" s="197"/>
      <c r="O184" s="52"/>
      <c r="P184" s="52"/>
    </row>
    <row r="185" spans="5:16" s="90" customFormat="1" ht="10.5" customHeight="1">
      <c r="E185" s="316"/>
      <c r="F185" s="196"/>
      <c r="G185" s="197"/>
      <c r="H185" s="197"/>
      <c r="I185" s="323"/>
      <c r="J185" s="319"/>
      <c r="K185" s="321"/>
      <c r="L185" s="196"/>
      <c r="M185" s="80"/>
      <c r="N185" s="197"/>
      <c r="O185" s="52"/>
      <c r="P185" s="52"/>
    </row>
    <row r="186" spans="5:16" s="90" customFormat="1" ht="10.5" customHeight="1">
      <c r="E186" s="316"/>
      <c r="F186" s="196"/>
      <c r="G186" s="197"/>
      <c r="H186" s="197"/>
      <c r="I186" s="323"/>
      <c r="J186" s="319"/>
      <c r="K186" s="321"/>
      <c r="L186" s="196"/>
      <c r="M186" s="80"/>
      <c r="N186" s="197"/>
      <c r="O186" s="52"/>
      <c r="P186" s="52"/>
    </row>
    <row r="187" spans="5:16" s="90" customFormat="1" ht="10.5" customHeight="1">
      <c r="E187" s="316"/>
      <c r="F187" s="196"/>
      <c r="G187" s="197"/>
      <c r="H187" s="197"/>
      <c r="I187" s="317"/>
      <c r="J187" s="319"/>
      <c r="K187" s="305"/>
      <c r="L187" s="196"/>
      <c r="M187" s="80"/>
      <c r="N187" s="197"/>
      <c r="O187" s="52"/>
      <c r="P187" s="52"/>
    </row>
    <row r="188" spans="5:16" s="90" customFormat="1" ht="10.5" customHeight="1">
      <c r="E188" s="316"/>
      <c r="F188" s="196"/>
      <c r="G188" s="197"/>
      <c r="H188" s="197"/>
      <c r="I188" s="284"/>
      <c r="J188" s="284"/>
      <c r="K188" s="284"/>
      <c r="L188" s="196"/>
      <c r="M188" s="80"/>
      <c r="N188" s="197"/>
      <c r="O188" s="52"/>
      <c r="P188" s="52"/>
    </row>
    <row r="189" spans="5:16" s="90" customFormat="1" ht="10.5" customHeight="1">
      <c r="E189" s="316"/>
      <c r="F189" s="196"/>
      <c r="G189" s="197"/>
      <c r="H189" s="197"/>
      <c r="I189" s="317"/>
      <c r="J189" s="319"/>
      <c r="K189" s="305"/>
      <c r="L189" s="196"/>
      <c r="M189" s="80"/>
      <c r="N189" s="197"/>
      <c r="O189" s="52"/>
      <c r="P189" s="52"/>
    </row>
    <row r="190" spans="5:16" s="90" customFormat="1" ht="10.5" customHeight="1">
      <c r="E190" s="316"/>
      <c r="F190" s="196"/>
      <c r="G190" s="197"/>
      <c r="H190" s="197"/>
      <c r="I190" s="317"/>
      <c r="J190" s="319"/>
      <c r="K190" s="305"/>
      <c r="L190" s="196"/>
      <c r="M190" s="80"/>
      <c r="N190" s="197"/>
      <c r="O190" s="52"/>
      <c r="P190" s="52"/>
    </row>
    <row r="191" spans="1:16" s="90" customFormat="1" ht="10.5" customHeight="1">
      <c r="A191" s="323"/>
      <c r="B191" s="77"/>
      <c r="C191" s="320"/>
      <c r="D191" s="320"/>
      <c r="E191" s="316"/>
      <c r="F191" s="196"/>
      <c r="G191" s="197"/>
      <c r="H191" s="197"/>
      <c r="I191" s="317"/>
      <c r="J191" s="319"/>
      <c r="K191" s="305"/>
      <c r="L191" s="196"/>
      <c r="M191" s="80"/>
      <c r="N191" s="197"/>
      <c r="O191" s="52"/>
      <c r="P191" s="52"/>
    </row>
    <row r="192" spans="1:16" s="90" customFormat="1" ht="10.5" customHeight="1">
      <c r="A192" s="323"/>
      <c r="B192" s="77"/>
      <c r="C192" s="320"/>
      <c r="D192" s="320"/>
      <c r="E192" s="316"/>
      <c r="F192" s="196"/>
      <c r="G192" s="197"/>
      <c r="H192" s="197"/>
      <c r="I192" s="317"/>
      <c r="J192" s="319"/>
      <c r="K192" s="305"/>
      <c r="L192" s="196"/>
      <c r="M192" s="80"/>
      <c r="N192" s="197"/>
      <c r="O192" s="52"/>
      <c r="P192" s="52"/>
    </row>
    <row r="193" spans="1:16" s="90" customFormat="1" ht="10.5" customHeight="1">
      <c r="A193" s="323"/>
      <c r="B193" s="77"/>
      <c r="C193" s="320"/>
      <c r="D193" s="320"/>
      <c r="E193" s="316"/>
      <c r="F193" s="196"/>
      <c r="G193" s="197"/>
      <c r="H193" s="197"/>
      <c r="I193" s="317"/>
      <c r="J193" s="319"/>
      <c r="K193" s="305"/>
      <c r="L193" s="196"/>
      <c r="M193" s="80"/>
      <c r="N193" s="197"/>
      <c r="O193" s="52"/>
      <c r="P193" s="52"/>
    </row>
    <row r="194" spans="1:16" s="90" customFormat="1" ht="10.5" customHeight="1">
      <c r="A194" s="323"/>
      <c r="B194" s="77"/>
      <c r="C194" s="320"/>
      <c r="D194" s="320"/>
      <c r="E194" s="316"/>
      <c r="F194" s="196"/>
      <c r="G194" s="197"/>
      <c r="H194" s="197"/>
      <c r="I194" s="317"/>
      <c r="J194" s="319"/>
      <c r="K194" s="305"/>
      <c r="L194" s="196"/>
      <c r="M194" s="80"/>
      <c r="N194" s="197"/>
      <c r="O194" s="52"/>
      <c r="P194" s="52"/>
    </row>
    <row r="195" spans="1:16" s="90" customFormat="1" ht="10.5" customHeight="1">
      <c r="A195" s="323"/>
      <c r="B195" s="77"/>
      <c r="C195" s="320"/>
      <c r="D195" s="320"/>
      <c r="E195" s="316"/>
      <c r="F195" s="196"/>
      <c r="G195" s="197"/>
      <c r="H195" s="197"/>
      <c r="I195" s="317"/>
      <c r="J195" s="319"/>
      <c r="K195" s="305"/>
      <c r="L195" s="196"/>
      <c r="M195" s="80"/>
      <c r="N195" s="197"/>
      <c r="O195" s="52"/>
      <c r="P195" s="52"/>
    </row>
    <row r="196" spans="1:16" s="90" customFormat="1" ht="10.5" customHeight="1">
      <c r="A196" s="323"/>
      <c r="B196" s="77"/>
      <c r="C196" s="320"/>
      <c r="D196" s="320"/>
      <c r="E196" s="316"/>
      <c r="F196" s="196"/>
      <c r="G196" s="197"/>
      <c r="H196" s="197"/>
      <c r="I196" s="317"/>
      <c r="J196" s="319"/>
      <c r="K196" s="305"/>
      <c r="L196" s="196"/>
      <c r="M196" s="80"/>
      <c r="N196" s="197"/>
      <c r="O196" s="52"/>
      <c r="P196" s="52"/>
    </row>
    <row r="197" spans="1:16" s="90" customFormat="1" ht="10.5" customHeight="1">
      <c r="A197" s="323"/>
      <c r="B197" s="77"/>
      <c r="C197" s="320"/>
      <c r="D197" s="320"/>
      <c r="E197" s="316"/>
      <c r="F197" s="196"/>
      <c r="G197" s="197"/>
      <c r="H197" s="197"/>
      <c r="I197" s="317"/>
      <c r="J197" s="319"/>
      <c r="K197" s="305"/>
      <c r="L197" s="196"/>
      <c r="M197" s="80"/>
      <c r="N197" s="197"/>
      <c r="O197" s="52"/>
      <c r="P197" s="52"/>
    </row>
    <row r="198" spans="1:16" s="90" customFormat="1" ht="10.5" customHeight="1">
      <c r="A198" s="323"/>
      <c r="B198" s="77"/>
      <c r="C198" s="320"/>
      <c r="D198" s="320"/>
      <c r="E198" s="316"/>
      <c r="F198" s="196"/>
      <c r="G198" s="197"/>
      <c r="H198" s="197"/>
      <c r="I198" s="317"/>
      <c r="J198" s="319"/>
      <c r="K198" s="305"/>
      <c r="L198" s="196"/>
      <c r="M198" s="80"/>
      <c r="N198" s="197"/>
      <c r="O198" s="52"/>
      <c r="P198" s="52"/>
    </row>
    <row r="199" spans="1:16" s="90" customFormat="1" ht="10.5" customHeight="1">
      <c r="A199" s="323"/>
      <c r="B199" s="77"/>
      <c r="C199" s="320"/>
      <c r="D199" s="320"/>
      <c r="E199" s="316"/>
      <c r="F199" s="196"/>
      <c r="G199" s="197"/>
      <c r="H199" s="197"/>
      <c r="I199" s="317"/>
      <c r="J199" s="319"/>
      <c r="K199" s="305"/>
      <c r="L199" s="196"/>
      <c r="M199" s="80"/>
      <c r="N199" s="197"/>
      <c r="O199" s="52"/>
      <c r="P199" s="52"/>
    </row>
    <row r="200" spans="1:16" s="90" customFormat="1" ht="10.5" customHeight="1">
      <c r="A200" s="323"/>
      <c r="B200" s="77"/>
      <c r="C200" s="320"/>
      <c r="D200" s="320"/>
      <c r="E200" s="316"/>
      <c r="F200" s="196"/>
      <c r="G200" s="197"/>
      <c r="H200" s="197"/>
      <c r="I200" s="317"/>
      <c r="J200" s="319"/>
      <c r="K200" s="305"/>
      <c r="L200" s="196"/>
      <c r="M200" s="80"/>
      <c r="N200" s="197"/>
      <c r="O200" s="52"/>
      <c r="P200" s="52"/>
    </row>
    <row r="201" spans="1:14" s="90" customFormat="1" ht="10.5" customHeight="1">
      <c r="A201" s="323"/>
      <c r="B201" s="77"/>
      <c r="C201" s="77"/>
      <c r="D201" s="77"/>
      <c r="E201" s="77"/>
      <c r="F201" s="77"/>
      <c r="G201" s="77"/>
      <c r="H201" s="77"/>
      <c r="I201" s="317"/>
      <c r="J201" s="319"/>
      <c r="K201" s="305"/>
      <c r="L201" s="196"/>
      <c r="M201" s="279"/>
      <c r="N201" s="197"/>
    </row>
    <row r="202" spans="1:14" s="90" customFormat="1" ht="10.5" customHeight="1">
      <c r="A202" s="323"/>
      <c r="B202" s="300"/>
      <c r="C202" s="300"/>
      <c r="D202" s="300"/>
      <c r="E202" s="300"/>
      <c r="F202" s="300"/>
      <c r="G202" s="300"/>
      <c r="H202" s="300"/>
      <c r="I202" s="317"/>
      <c r="J202" s="319"/>
      <c r="K202" s="305"/>
      <c r="L202" s="300"/>
      <c r="M202" s="300"/>
      <c r="N202" s="300"/>
    </row>
    <row r="203" spans="1:14" ht="9.75" customHeight="1" hidden="1">
      <c r="A203" s="323"/>
      <c r="B203" s="319"/>
      <c r="C203" s="323"/>
      <c r="D203" s="323"/>
      <c r="E203" s="305"/>
      <c r="F203" s="287"/>
      <c r="G203" s="287"/>
      <c r="H203" s="287"/>
      <c r="I203" s="317"/>
      <c r="J203" s="319"/>
      <c r="K203" s="305"/>
      <c r="L203" s="319"/>
      <c r="M203" s="198"/>
      <c r="N203" s="321"/>
    </row>
    <row r="204" spans="1:14" ht="9.75" customHeight="1" hidden="1">
      <c r="A204" s="323"/>
      <c r="B204" s="319"/>
      <c r="C204" s="323"/>
      <c r="D204" s="323"/>
      <c r="E204" s="305"/>
      <c r="F204" s="198"/>
      <c r="G204" s="198"/>
      <c r="H204" s="198"/>
      <c r="I204" s="317"/>
      <c r="J204" s="319"/>
      <c r="K204" s="305"/>
      <c r="L204" s="319"/>
      <c r="M204" s="198"/>
      <c r="N204" s="321"/>
    </row>
    <row r="205" spans="1:14" ht="9.75" customHeight="1" hidden="1">
      <c r="A205" s="323"/>
      <c r="B205" s="319"/>
      <c r="C205" s="323"/>
      <c r="D205" s="323"/>
      <c r="E205" s="305"/>
      <c r="F205" s="287"/>
      <c r="G205" s="287"/>
      <c r="H205" s="287"/>
      <c r="I205" s="317"/>
      <c r="J205" s="319"/>
      <c r="K205" s="305"/>
      <c r="L205" s="322"/>
      <c r="M205" s="319"/>
      <c r="N205" s="321"/>
    </row>
    <row r="206" spans="1:14" ht="9.75" customHeight="1" hidden="1">
      <c r="A206" s="323"/>
      <c r="B206" s="319"/>
      <c r="C206" s="323"/>
      <c r="D206" s="323"/>
      <c r="E206" s="305"/>
      <c r="F206" s="287"/>
      <c r="G206" s="287"/>
      <c r="H206" s="287"/>
      <c r="I206" s="77"/>
      <c r="J206" s="77"/>
      <c r="K206" s="279"/>
      <c r="L206" s="322"/>
      <c r="M206" s="319"/>
      <c r="N206" s="321"/>
    </row>
    <row r="207" spans="1:14" ht="9.75" customHeight="1" hidden="1">
      <c r="A207" s="323"/>
      <c r="B207" s="319"/>
      <c r="C207" s="323"/>
      <c r="D207" s="323"/>
      <c r="E207" s="305"/>
      <c r="F207" s="287"/>
      <c r="G207" s="287"/>
      <c r="H207" s="287"/>
      <c r="I207" s="300"/>
      <c r="J207" s="300"/>
      <c r="K207" s="300"/>
      <c r="L207" s="322"/>
      <c r="M207" s="319"/>
      <c r="N207" s="321"/>
    </row>
    <row r="208" spans="1:14" ht="9.75" customHeight="1" hidden="1">
      <c r="A208" s="323"/>
      <c r="B208" s="319"/>
      <c r="C208" s="323"/>
      <c r="D208" s="323"/>
      <c r="E208" s="305"/>
      <c r="F208" s="287"/>
      <c r="G208" s="287"/>
      <c r="H208" s="287"/>
      <c r="I208" s="323"/>
      <c r="J208" s="323"/>
      <c r="K208" s="323"/>
      <c r="L208" s="322"/>
      <c r="M208" s="319"/>
      <c r="N208" s="321"/>
    </row>
    <row r="209" spans="1:14" ht="12" customHeight="1" hidden="1">
      <c r="A209" s="323"/>
      <c r="B209" s="319"/>
      <c r="C209" s="323"/>
      <c r="D209" s="323"/>
      <c r="E209" s="305"/>
      <c r="F209" s="287"/>
      <c r="G209" s="287"/>
      <c r="H209" s="287"/>
      <c r="I209" s="323"/>
      <c r="J209" s="323"/>
      <c r="K209" s="323"/>
      <c r="L209" s="322"/>
      <c r="M209" s="319"/>
      <c r="N209" s="321"/>
    </row>
    <row r="210" spans="1:14" ht="9" customHeight="1" hidden="1">
      <c r="A210" s="323"/>
      <c r="B210" s="319"/>
      <c r="C210" s="323"/>
      <c r="D210" s="323"/>
      <c r="E210" s="305"/>
      <c r="F210" s="287"/>
      <c r="G210" s="287"/>
      <c r="H210" s="287"/>
      <c r="I210" s="323"/>
      <c r="J210" s="323"/>
      <c r="K210" s="323"/>
      <c r="L210" s="322"/>
      <c r="M210" s="319"/>
      <c r="N210" s="321"/>
    </row>
    <row r="211" spans="1:14" ht="9" customHeight="1" hidden="1">
      <c r="A211" s="323"/>
      <c r="B211" s="319"/>
      <c r="C211" s="323"/>
      <c r="D211" s="323"/>
      <c r="E211" s="305"/>
      <c r="F211" s="287"/>
      <c r="G211" s="287"/>
      <c r="H211" s="287"/>
      <c r="I211" s="323"/>
      <c r="J211" s="323"/>
      <c r="K211" s="323"/>
      <c r="L211" s="322"/>
      <c r="M211" s="319"/>
      <c r="N211" s="321"/>
    </row>
    <row r="212" spans="1:14" ht="9" customHeight="1" hidden="1">
      <c r="A212" s="323"/>
      <c r="B212" s="319"/>
      <c r="C212" s="323"/>
      <c r="D212" s="323"/>
      <c r="E212" s="305"/>
      <c r="F212" s="287"/>
      <c r="G212" s="287"/>
      <c r="H212" s="287"/>
      <c r="I212" s="323"/>
      <c r="J212" s="323"/>
      <c r="K212" s="323"/>
      <c r="L212" s="322"/>
      <c r="M212" s="319"/>
      <c r="N212" s="321"/>
    </row>
    <row r="213" spans="1:14" ht="9" customHeight="1" hidden="1">
      <c r="A213" s="323"/>
      <c r="B213" s="319"/>
      <c r="C213" s="323"/>
      <c r="D213" s="323"/>
      <c r="E213" s="305"/>
      <c r="F213" s="287"/>
      <c r="G213" s="287"/>
      <c r="H213" s="287"/>
      <c r="I213" s="323"/>
      <c r="J213" s="323"/>
      <c r="K213" s="323"/>
      <c r="L213" s="322"/>
      <c r="M213" s="319"/>
      <c r="N213" s="321"/>
    </row>
    <row r="214" spans="1:14" ht="0" customHeight="1" hidden="1">
      <c r="A214" s="323"/>
      <c r="B214" s="319"/>
      <c r="C214" s="323"/>
      <c r="D214" s="323"/>
      <c r="E214" s="305"/>
      <c r="F214" s="287"/>
      <c r="G214" s="287"/>
      <c r="H214" s="287"/>
      <c r="I214" s="323"/>
      <c r="J214" s="323"/>
      <c r="K214" s="323"/>
      <c r="L214" s="322"/>
      <c r="M214" s="319"/>
      <c r="N214" s="321"/>
    </row>
    <row r="215" spans="1:14" ht="0" customHeight="1" hidden="1">
      <c r="A215" s="323"/>
      <c r="B215" s="319"/>
      <c r="C215" s="323"/>
      <c r="D215" s="323"/>
      <c r="E215" s="305"/>
      <c r="F215" s="287"/>
      <c r="G215" s="287"/>
      <c r="H215" s="287"/>
      <c r="I215" s="323"/>
      <c r="J215" s="323"/>
      <c r="K215" s="323"/>
      <c r="L215" s="322"/>
      <c r="M215" s="319"/>
      <c r="N215" s="321"/>
    </row>
    <row r="216" spans="1:14" ht="0" customHeight="1" hidden="1">
      <c r="A216" s="284"/>
      <c r="B216" s="284"/>
      <c r="C216" s="284"/>
      <c r="D216" s="284"/>
      <c r="E216" s="284"/>
      <c r="F216" s="284"/>
      <c r="G216" s="284"/>
      <c r="H216" s="284"/>
      <c r="I216" s="323"/>
      <c r="J216" s="323"/>
      <c r="K216" s="323"/>
      <c r="L216" s="284"/>
      <c r="M216" s="284"/>
      <c r="N216" s="284"/>
    </row>
    <row r="217" spans="1:14" ht="0" customHeight="1" hidden="1">
      <c r="A217" s="284"/>
      <c r="B217" s="284"/>
      <c r="C217" s="284"/>
      <c r="D217" s="284"/>
      <c r="E217" s="284"/>
      <c r="F217" s="284"/>
      <c r="G217" s="284"/>
      <c r="H217" s="284"/>
      <c r="I217" s="323"/>
      <c r="J217" s="323"/>
      <c r="K217" s="323"/>
      <c r="L217" s="284"/>
      <c r="M217" s="284"/>
      <c r="N217" s="284"/>
    </row>
    <row r="218" spans="1:14" ht="0" customHeight="1" hidden="1">
      <c r="A218" s="106"/>
      <c r="B218" s="77"/>
      <c r="C218" s="77"/>
      <c r="D218" s="77"/>
      <c r="E218" s="324"/>
      <c r="F218" s="284"/>
      <c r="G218" s="284"/>
      <c r="H218" s="284"/>
      <c r="I218" s="323"/>
      <c r="J218" s="323"/>
      <c r="K218" s="323"/>
      <c r="L218" s="73"/>
      <c r="M218" s="73"/>
      <c r="N218" s="73"/>
    </row>
    <row r="219" spans="9:11" ht="0" customHeight="1" hidden="1">
      <c r="I219" s="323"/>
      <c r="J219" s="323"/>
      <c r="K219" s="323"/>
    </row>
    <row r="220" spans="9:11" ht="0" customHeight="1" hidden="1">
      <c r="I220" s="323"/>
      <c r="J220" s="323"/>
      <c r="K220" s="323"/>
    </row>
    <row r="221" spans="9:11" ht="0" customHeight="1" hidden="1">
      <c r="I221" s="284"/>
      <c r="J221" s="284"/>
      <c r="K221" s="284"/>
    </row>
    <row r="222" spans="9:11" ht="0" customHeight="1" hidden="1">
      <c r="I222" s="284"/>
      <c r="J222" s="284"/>
      <c r="K222" s="284"/>
    </row>
    <row r="223" spans="9:11" ht="0" customHeight="1" hidden="1">
      <c r="I223" s="73"/>
      <c r="J223" s="73"/>
      <c r="K223" s="73"/>
    </row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</sheetData>
  <sheetProtection/>
  <mergeCells count="16">
    <mergeCell ref="A3:K3"/>
    <mergeCell ref="A7:N7"/>
    <mergeCell ref="A8:N8"/>
    <mergeCell ref="A27:C27"/>
    <mergeCell ref="E27:G27"/>
    <mergeCell ref="I27:K27"/>
    <mergeCell ref="A6:G6"/>
    <mergeCell ref="E162:G162"/>
    <mergeCell ref="I167:K167"/>
    <mergeCell ref="A162:C162"/>
    <mergeCell ref="F5:P5"/>
    <mergeCell ref="A48:K48"/>
    <mergeCell ref="A50:G50"/>
    <mergeCell ref="A61:G61"/>
    <mergeCell ref="A84:K84"/>
    <mergeCell ref="A42:G42"/>
  </mergeCells>
  <printOptions horizontalCentered="1" verticalCentered="1"/>
  <pageMargins left="0" right="0" top="0" bottom="0" header="0" footer="0"/>
  <pageSetup horizontalDpi="600" verticalDpi="600" orientation="portrait" paperSize="9" scale="80" r:id="rId1"/>
  <rowBreaks count="1" manualBreakCount="1">
    <brk id="200" max="12" man="1"/>
  </rowBreaks>
  <colBreaks count="1" manualBreakCount="1">
    <brk id="11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Электроагрегат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2013-07-12T04:54:08Z</cp:lastPrinted>
  <dcterms:created xsi:type="dcterms:W3CDTF">2004-04-15T12:11:44Z</dcterms:created>
  <dcterms:modified xsi:type="dcterms:W3CDTF">2013-07-12T05:31:38Z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